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showObjects="placeholders" defaultThemeVersion="124226"/>
  <mc:AlternateContent xmlns:mc="http://schemas.openxmlformats.org/markup-compatibility/2006">
    <mc:Choice Requires="x15">
      <x15ac:absPath xmlns:x15ac="http://schemas.microsoft.com/office/spreadsheetml/2010/11/ac" url="https://pwccan.sharepoint.com/sites/CA-TAX-DMS-Tax-NonClient/Tax Marketing/FR-Utilisation d'une automobile/2026/"/>
    </mc:Choice>
  </mc:AlternateContent>
  <xr:revisionPtr revIDLastSave="6" documentId="8_{BFC75B68-C16A-47A6-8D5C-BEFB2007C828}" xr6:coauthVersionLast="47" xr6:coauthVersionMax="47" xr10:uidLastSave="{EFB9BBC6-37FF-4402-9D68-97CDB102B4B6}"/>
  <bookViews>
    <workbookView xWindow="22932" yWindow="-108" windowWidth="23256" windowHeight="1245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7" l="1"/>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G14" i="25"/>
  <c r="J14" i="25" s="1"/>
  <c r="A15" i="25"/>
  <c r="F15" i="25"/>
  <c r="I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G40" i="25"/>
  <c r="J40" i="25"/>
  <c r="A41" i="25"/>
  <c r="F41" i="25"/>
  <c r="G41" i="25"/>
  <c r="J41" i="25"/>
  <c r="A42" i="25"/>
  <c r="F42" i="25"/>
  <c r="G42" i="25"/>
  <c r="J42" i="25"/>
  <c r="A43" i="25"/>
  <c r="F43" i="25"/>
  <c r="I43" i="25" s="1"/>
  <c r="G43" i="25"/>
  <c r="J43" i="25"/>
  <c r="A44" i="25"/>
  <c r="F44" i="25"/>
  <c r="I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G132" i="25"/>
  <c r="J132" i="25" s="1"/>
  <c r="A134" i="25"/>
  <c r="F134" i="25"/>
  <c r="G134" i="25"/>
  <c r="J134" i="25" s="1"/>
  <c r="A135" i="25"/>
  <c r="F135" i="25"/>
  <c r="G135" i="25"/>
  <c r="J135" i="25"/>
  <c r="A136" i="25"/>
  <c r="G136" i="25"/>
  <c r="J136" i="25" s="1"/>
  <c r="A138" i="25"/>
  <c r="F138" i="25"/>
  <c r="I138" i="25" s="1"/>
  <c r="G138" i="25"/>
  <c r="J138" i="25" s="1"/>
  <c r="A139" i="25"/>
  <c r="F139" i="25"/>
  <c r="G139" i="25"/>
  <c r="J139" i="25" s="1"/>
  <c r="A140" i="25"/>
  <c r="F140" i="25"/>
  <c r="I140" i="25" s="1"/>
  <c r="G140" i="25"/>
  <c r="J140" i="25" s="1"/>
  <c r="F141" i="25"/>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G149" i="25"/>
  <c r="J149" i="25" s="1"/>
  <c r="A150" i="25"/>
  <c r="F150" i="25"/>
  <c r="G150" i="25"/>
  <c r="J150" i="25" s="1"/>
  <c r="A151" i="25"/>
  <c r="F151" i="25"/>
  <c r="I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AX41" i="13"/>
  <c r="BG41" i="13"/>
  <c r="BF41" i="13"/>
  <c r="AY41" i="13"/>
  <c r="BC41" i="13"/>
  <c r="BB41" i="13"/>
  <c r="H182" i="25" l="1"/>
  <c r="H173" i="25"/>
  <c r="H151" i="25"/>
  <c r="E149" i="25"/>
  <c r="E141" i="25"/>
  <c r="H138" i="25"/>
  <c r="H132" i="25"/>
  <c r="H112" i="25"/>
  <c r="H101" i="25"/>
  <c r="H91" i="25"/>
  <c r="E75" i="25"/>
  <c r="H44" i="25"/>
  <c r="H40" i="25"/>
  <c r="H15" i="25"/>
  <c r="H14" i="25"/>
  <c r="E7" i="25"/>
  <c r="BL13" i="12"/>
  <c r="BK13" i="14"/>
  <c r="BL14" i="27"/>
  <c r="BK14" i="28"/>
  <c r="BM13" i="29"/>
  <c r="BL13" i="30"/>
  <c r="BJ15" i="31"/>
  <c r="BK15" i="31" s="1"/>
  <c r="BL15" i="31" s="1"/>
  <c r="BM13" i="32"/>
  <c r="BN21" i="33"/>
  <c r="E117" i="25"/>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A38" i="13"/>
  <c r="BI40" i="13"/>
  <c r="AX37" i="13"/>
  <c r="AE35" i="13"/>
  <c r="BD40" i="13"/>
  <c r="AE28" i="13"/>
  <c r="AE33" i="13"/>
  <c r="BD39" i="13"/>
  <c r="BD41" i="13"/>
  <c r="BF38" i="13"/>
  <c r="AX31" i="13"/>
  <c r="BH39" i="13"/>
  <c r="BI39" i="13"/>
  <c r="BC37" i="13"/>
  <c r="BA40" i="13"/>
  <c r="BE39" i="13"/>
  <c r="AZ38" i="13"/>
  <c r="BE38" i="13"/>
  <c r="BD38" i="13"/>
  <c r="BD37" i="13"/>
  <c r="AY37" i="13"/>
  <c r="BE40" i="13"/>
  <c r="BF39" i="13"/>
  <c r="AZ40" i="13"/>
  <c r="BF37" i="13"/>
  <c r="BF40" i="13"/>
  <c r="BH38" i="13"/>
  <c r="AZ39" i="13"/>
  <c r="AE32" i="13"/>
  <c r="AE26" i="13"/>
  <c r="BA39" i="13"/>
  <c r="BG37" i="13"/>
  <c r="BI38" i="13"/>
  <c r="BH40" i="13"/>
  <c r="BB37" i="13"/>
  <c r="AY39" i="13"/>
  <c r="J8" i="12" l="1"/>
  <c r="M8" i="35"/>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BO15" i="27" s="1"/>
  <c r="B6" i="27" s="1"/>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Y10" i="13"/>
  <c r="AW37" i="13"/>
  <c r="BE37" i="13"/>
  <c r="BD10" i="13"/>
  <c r="AE29" i="13"/>
  <c r="BB31" i="13"/>
  <c r="BD31" i="13"/>
  <c r="BA37" i="13"/>
  <c r="BB39" i="13"/>
  <c r="AV37" i="13"/>
  <c r="BE10" i="13"/>
  <c r="AZ37" i="13"/>
  <c r="AE25" i="13"/>
  <c r="AZ10" i="13"/>
  <c r="BG31" i="13"/>
  <c r="BC40" i="13"/>
  <c r="AX40" i="13"/>
  <c r="BF31" i="13"/>
  <c r="AZ41" i="13"/>
  <c r="AX38" i="13"/>
  <c r="BG39" i="13"/>
  <c r="BE31" i="13"/>
  <c r="BB38" i="13"/>
  <c r="BF10" i="13"/>
  <c r="BA41" i="13"/>
  <c r="BE41" i="13"/>
  <c r="BC32" i="13"/>
  <c r="BB40" i="13"/>
  <c r="BG32" i="13"/>
  <c r="BG10" i="13"/>
  <c r="AE24" i="13"/>
  <c r="AY38" i="13"/>
  <c r="AE34" i="13"/>
  <c r="BC39" i="13"/>
  <c r="BC38" i="13"/>
  <c r="AZ31" i="13"/>
  <c r="AX39" i="13"/>
  <c r="BA10" i="13"/>
  <c r="BA31" i="13"/>
  <c r="BC10" i="13"/>
  <c r="AX10" i="13"/>
  <c r="AW10" i="13"/>
  <c r="BB10" i="13"/>
  <c r="AE27" i="13"/>
  <c r="BG38" i="13"/>
  <c r="AE31" i="13"/>
  <c r="AE30" i="13"/>
  <c r="AV31" i="13"/>
  <c r="AY31" i="13"/>
  <c r="AV10" i="13"/>
  <c r="AW41" i="13"/>
  <c r="BG40" i="13"/>
  <c r="AV41" i="13"/>
  <c r="AW31" i="13"/>
  <c r="AY40" i="13"/>
  <c r="BC31"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A32" i="13"/>
  <c r="BF32" i="13"/>
  <c r="AZ32" i="13"/>
  <c r="BB32" i="13"/>
  <c r="BD32" i="13"/>
  <c r="BE32" i="13"/>
  <c r="AV32" i="13"/>
  <c r="AY32" i="13"/>
  <c r="AW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Y23" i="33" s="1"/>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X7" i="13"/>
  <c r="BF7" i="13"/>
  <c r="AZ7" i="13"/>
  <c r="AW7" i="13"/>
  <c r="BD7" i="13"/>
  <c r="AX32" i="13"/>
  <c r="BE7" i="13"/>
  <c r="BA7" i="13"/>
  <c r="AV7" i="13"/>
  <c r="BB7" i="13"/>
  <c r="BG7" i="13"/>
  <c r="AY7" i="13"/>
  <c r="BC7" i="13"/>
  <c r="Y28" i="31" l="1"/>
  <c r="Y29" i="33"/>
  <c r="Y28" i="35"/>
  <c r="Y34" i="35" s="1"/>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27" i="14"/>
  <c r="Y33" i="14" s="1"/>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27" i="29"/>
  <c r="Y34" i="26"/>
  <c r="Y40" i="26" s="1"/>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1" i="33"/>
  <c r="Y37" i="33" s="1"/>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AF141" i="12"/>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48" i="31" s="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Y55" i="34" s="1"/>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E9" i="13"/>
  <c r="BD9" i="13"/>
  <c r="BC9" i="13"/>
  <c r="AX9" i="13"/>
  <c r="BB9" i="13"/>
  <c r="BA9" i="13"/>
  <c r="AZ9" i="13"/>
  <c r="AW9" i="13"/>
  <c r="BF9" i="13"/>
  <c r="BG9" i="13"/>
  <c r="AV9" i="13"/>
  <c r="AY9" i="13"/>
  <c r="AG193" i="33" l="1"/>
  <c r="AG33" i="12"/>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E33" i="13"/>
  <c r="BC8" i="13"/>
  <c r="BF33" i="13"/>
  <c r="AV33" i="13"/>
  <c r="BB33" i="13"/>
  <c r="AV8" i="13"/>
  <c r="AW33" i="13"/>
  <c r="AX33" i="13"/>
  <c r="BG33" i="13"/>
  <c r="BC33" i="13"/>
  <c r="AZ33" i="13"/>
  <c r="BD33" i="13"/>
  <c r="BA33" i="13"/>
  <c r="AY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BA8" i="13"/>
  <c r="BB8" i="13"/>
  <c r="AZ8" i="13"/>
  <c r="AX8" i="13"/>
  <c r="BE8" i="13"/>
  <c r="AW8" i="13"/>
  <c r="BD8" i="13"/>
  <c r="AY8" i="13"/>
  <c r="BG8" i="13"/>
  <c r="BF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I6" i="13"/>
  <c r="E34" i="13" l="1"/>
  <c r="Q34" i="13"/>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<sst xmlns="http://schemas.openxmlformats.org/spreadsheetml/2006/main" count="1164" uniqueCount="459">
  <si>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All use Quebec option (Y/N)</t>
  </si>
  <si>
    <t>Y</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</si>
  <si>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</si>
  <si>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Please zoom out if this arrow's point is not visible after you hit the HOME key.</t>
  </si>
  <si>
    <t>Enter Q for Quebec version:</t>
  </si>
  <si>
    <t>q</t>
  </si>
  <si>
    <t>Veuillez faire un zoom arrière si le curseur a disparu après avoir appuyé sur la touche Début.</t>
  </si>
  <si>
    <t>Enter E or F to select language:</t>
  </si>
  <si>
    <t>f</t>
  </si>
  <si>
    <t>Translator: also change the names of the tabs for the various worksheets</t>
  </si>
  <si>
    <t>French date formulas and formats may require attention</t>
  </si>
  <si>
    <t>French currency formats will have to come from French Excel</t>
  </si>
  <si>
    <t xml:space="preserve">Do not delete: </t>
  </si>
  <si>
    <t>NOTES</t>
  </si>
  <si>
    <t>English (type here)</t>
  </si>
  <si>
    <t>French (type here)</t>
  </si>
  <si>
    <r>
      <t xml:space="preserve">DO NOT TYPE HERE
</t>
    </r>
    <r>
      <rPr>
        <sz val="10"/>
        <rFont val="Arial"/>
        <family val="2"/>
      </rPr>
      <t>These are used in the various worksheets</t>
    </r>
  </si>
  <si>
    <t>Length of English</t>
  </si>
  <si>
    <t>Length of French</t>
  </si>
  <si>
    <t>English characters trimmed</t>
  </si>
  <si>
    <t>French characters trimmed</t>
  </si>
  <si>
    <t>SET BASE YEAR:</t>
  </si>
  <si>
    <r>
      <t xml:space="preserve">NO LONGER NEEDED; DO NOT TRANSLATE  </t>
    </r>
    <r>
      <rPr>
        <sz val="10"/>
        <rFont val="Arial"/>
        <family val="2"/>
      </rPr>
      <t>(Record reading if car switched)</t>
    </r>
  </si>
  <si>
    <t xml:space="preserve"> days in month</t>
  </si>
  <si>
    <t xml:space="preserve"> jours dans le mois</t>
  </si>
  <si>
    <t>(e.g., if km at start of trip less than km at end of previous trip)</t>
  </si>
  <si>
    <t>(par ex., si le km au départ est inférieur au km à l'arrivée du déplacement précédent)</t>
  </si>
  <si>
    <t>(yy or yyyy)</t>
  </si>
  <si>
    <t>(aa ou aaaa)</t>
  </si>
  <si>
    <t>◄◄◄</t>
  </si>
  <si>
    <t>Accident repair (business)</t>
  </si>
  <si>
    <t>Réparations accident (affaires)</t>
  </si>
  <si>
    <t>Accident repair (personal)</t>
  </si>
  <si>
    <t>Réparations accident (personnel)</t>
  </si>
  <si>
    <t>against smallest reading in this month</t>
  </si>
  <si>
    <t>Par rapport à la plus petite lecture du mois</t>
  </si>
  <si>
    <t>against end of previous month</t>
  </si>
  <si>
    <t>par rapport à la fin du mois précédent</t>
  </si>
  <si>
    <t>Allowances from employer</t>
  </si>
  <si>
    <t>Allocations reçues de l'employeur</t>
  </si>
  <si>
    <t>Amount</t>
  </si>
  <si>
    <t>Montant</t>
  </si>
  <si>
    <t>Amounts received</t>
  </si>
  <si>
    <t>Montants reçus</t>
  </si>
  <si>
    <t>and</t>
  </si>
  <si>
    <t>et</t>
  </si>
  <si>
    <t xml:space="preserve">Annual summary indicates car is unavailable for entire month of </t>
  </si>
  <si>
    <t xml:space="preserve">Sommaire annuel indique que l'automobile n'est pas disponible pour tout le mois de </t>
  </si>
  <si>
    <t>Business kilometres</t>
  </si>
  <si>
    <t>Kilomètres d'affaires</t>
  </si>
  <si>
    <t>Business kilometres driven</t>
  </si>
  <si>
    <t>Kilomètres d'affaires parcourus</t>
  </si>
  <si>
    <t>Business km</t>
  </si>
  <si>
    <t>km d'affaires</t>
  </si>
  <si>
    <t xml:space="preserve"> can reduce your automobile benefit for EITHER </t>
  </si>
  <si>
    <t xml:space="preserve"> peut réduire votre avantage pour automobile pour SOIT </t>
  </si>
  <si>
    <t>◄ ◄ ◄ ◄ Cannot skip any days</t>
  </si>
  <si>
    <t>◄ ◄ ◄ ◄ Ne peut sauter une journée</t>
  </si>
  <si>
    <t>Car 1</t>
  </si>
  <si>
    <t>Automobile 1</t>
  </si>
  <si>
    <t>Car 2</t>
  </si>
  <si>
    <t>Automobile 2</t>
  </si>
  <si>
    <t>Car 3</t>
  </si>
  <si>
    <t>Automobile 3</t>
  </si>
  <si>
    <t>Car 4</t>
  </si>
  <si>
    <t>Automobile 4</t>
  </si>
  <si>
    <t>Car 5</t>
  </si>
  <si>
    <t>Automobile 5</t>
  </si>
  <si>
    <t>Car 6</t>
  </si>
  <si>
    <t>Automobile 6</t>
  </si>
  <si>
    <t>Car Expenses and Benefits log</t>
  </si>
  <si>
    <t>Journal de bord avantages et dépenses d'automobile</t>
  </si>
  <si>
    <t>Car Expenses and Benefits log – Annual summary</t>
  </si>
  <si>
    <t>Journal de bord avantages et dépenses d'automobile - Sommaire annuel</t>
  </si>
  <si>
    <t>Cars used*</t>
  </si>
  <si>
    <t>Automobiles utilisées*</t>
  </si>
  <si>
    <t>Check</t>
  </si>
  <si>
    <t>Vérifier</t>
  </si>
  <si>
    <t>Check darker cells</t>
  </si>
  <si>
    <t>Vérifier les cellules foncées</t>
  </si>
  <si>
    <t>Check END</t>
  </si>
  <si>
    <t>Vérifier FIN</t>
  </si>
  <si>
    <t>Check individual start and end km entries.</t>
  </si>
  <si>
    <t>Vérifier chaque entrée du km début et fin</t>
  </si>
  <si>
    <t>Check start</t>
  </si>
  <si>
    <t>Vérifier début</t>
  </si>
  <si>
    <t>Check START</t>
  </si>
  <si>
    <t>Vérifier DÉBUT</t>
  </si>
  <si>
    <r>
      <t xml:space="preserve">NO LONGER NEEDED; DO NOT TRANSLATE </t>
    </r>
    <r>
      <rPr>
        <sz val="10"/>
        <rFont val="Arial"/>
        <family val="2"/>
      </rPr>
      <t>Check start against end of previous year</t>
    </r>
  </si>
  <si>
    <t>Check end against largest reading in this month</t>
  </si>
  <si>
    <t>Comparer la fin avec la lecture la plus élevée du mois</t>
  </si>
  <si>
    <t>Common odometer problems – diagnostics (to help you detect errors)</t>
  </si>
  <si>
    <t>Problèmes courants du compteur de km - diagnostics (de détection des erreurs)</t>
  </si>
  <si>
    <t>Complete this summary at the end of each month:</t>
  </si>
  <si>
    <t>Remplir ce sommaire à la fin de chaque mois :</t>
  </si>
  <si>
    <t>* Counts use of different cars. For instance, starting with car 1, switching to car 2 and then back to car 3 yields a count of 3.</t>
  </si>
  <si>
    <t>* Inscrire ici le nombre de véhicules utilisés. Par exemple, si on emprunte la voiture 1, que l'on passe à la voiture 2 puis qu'on utilise ensuite la voiture 3, on doit indiquer 3 dans la cellule.</t>
  </si>
  <si>
    <t>Date (dd)</t>
  </si>
  <si>
    <t>Date (jj)</t>
  </si>
  <si>
    <t>Day</t>
  </si>
  <si>
    <t>Jour</t>
  </si>
  <si>
    <t>◄ ◄ ◄ ◄ Days out of sequence</t>
  </si>
  <si>
    <t>◄ ◄ ◄ ◄ Jours non ordonnés</t>
  </si>
  <si>
    <t>Days in month vehicle is available for business or personal use</t>
  </si>
  <si>
    <t>Jours de disponibilité du véhicule dans le mois pour affaires ou à des fins personnelles</t>
  </si>
  <si>
    <t>Days vehicle is available</t>
  </si>
  <si>
    <t>Jours de disponibilité du véhicule</t>
  </si>
  <si>
    <t>Days vehicle is available for personal use</t>
  </si>
  <si>
    <t>Jours de disponibilité du véhicule à des fins personnelles</t>
  </si>
  <si>
    <t>Days vehicle used for employment purposes</t>
  </si>
  <si>
    <t>Jours de disponibilité du véhicule pour affaires</t>
  </si>
  <si>
    <t>Departure
point</t>
  </si>
  <si>
    <t>Point de
départ</t>
  </si>
  <si>
    <t>Destination</t>
  </si>
  <si>
    <t>Driven</t>
  </si>
  <si>
    <t>Parcouru</t>
  </si>
  <si>
    <t>End</t>
  </si>
  <si>
    <t>Fin</t>
  </si>
  <si>
    <t>END
is less
than largest reading in
the month</t>
  </si>
  <si>
    <t>FIN
est inférieur
à la plus grande lecture du
mois</t>
  </si>
  <si>
    <t xml:space="preserve">◄ ◄◄ ◄ ◄ ◄ ◄ ◄  Enter day  </t>
  </si>
  <si>
    <t xml:space="preserve">◄ ◄◄ ◄ ◄ ◄ ◄ ◄  Entrer jour  </t>
  </si>
  <si>
    <r>
      <t>Enter "</t>
    </r>
    <r>
      <rPr>
        <sz val="10"/>
        <rFont val="Arial"/>
        <family val="2"/>
      </rPr>
      <t>X</t>
    </r>
    <r>
      <rPr>
        <sz val="10"/>
        <rFont val="Arial"/>
        <family val="2"/>
      </rPr>
      <t>" for any month in which no car was available 
      ▼▼</t>
    </r>
  </si>
  <si>
    <t xml:space="preserve">Entrer "X" pour tout mois où aucune automobile n'était disponible
     ▼▼ </t>
  </si>
  <si>
    <t>Enter each day as many times as needed
▼</t>
  </si>
  <si>
    <t>Entrer le jour aussi souvent que nécessaire.
▼</t>
  </si>
  <si>
    <r>
      <t xml:space="preserve">NO LONGER NEEDED; DO NOT TRANSLATE </t>
    </r>
    <r>
      <rPr>
        <sz val="10"/>
        <rFont val="Arial"/>
        <family val="2"/>
      </rPr>
      <t>Enter monthly data on the separate worksheets provided (see tabs at the bottom of the screen).</t>
    </r>
  </si>
  <si>
    <t>▼</t>
  </si>
  <si>
    <t>Enter year</t>
  </si>
  <si>
    <t>Entrer l'année</t>
  </si>
  <si>
    <t>Other expenses</t>
  </si>
  <si>
    <t>Autres dépenses</t>
  </si>
  <si>
    <t>Explanation/description</t>
  </si>
  <si>
    <t>Explication/description</t>
  </si>
  <si>
    <r>
      <t xml:space="preserve">For help, see: </t>
    </r>
    <r>
      <rPr>
        <i/>
        <sz val="10"/>
        <rFont val="Arial"/>
        <family val="2"/>
      </rPr>
      <t>Car Expenses 
and Benefits  – A Tax Guide</t>
    </r>
    <r>
      <rPr>
        <sz val="10"/>
        <rFont val="Arial"/>
        <family val="2"/>
      </rPr>
      <t>:</t>
    </r>
  </si>
  <si>
    <t>Pour obtenir de l'aide : Utilisation 
d'une automobile - Guide fiscal :</t>
  </si>
  <si>
    <t>Fuel
and oil</t>
  </si>
  <si>
    <t>Essence
et huile</t>
  </si>
  <si>
    <t>Gasoline excise tax refund</t>
  </si>
  <si>
    <t>Remboursement de la taxe d'accise sur l'essence</t>
  </si>
  <si>
    <t>GST/HST rebate received</t>
  </si>
  <si>
    <t>Remboursement de la TPS/TVH reçue</t>
  </si>
  <si>
    <t>(Give details in A.)</t>
  </si>
  <si>
    <t>Consigner les détails dans A.</t>
  </si>
  <si>
    <t>If car is employer-supplied, enter days unavailable below</t>
  </si>
  <si>
    <t>Si l'automobile est fournie par l'employeur, entrer les jours d'indisponibilité</t>
  </si>
  <si>
    <t>If car is not available all month, you can indicate that on the annual summary rather than here</t>
  </si>
  <si>
    <t>Si l'automobile n'est pas disponible tout le mois, indiquez-le sur le sommaire annuel et non ici.</t>
  </si>
  <si>
    <t xml:space="preserve">In </t>
  </si>
  <si>
    <t xml:space="preserve">En </t>
  </si>
  <si>
    <t xml:space="preserve">In first 45 days of </t>
  </si>
  <si>
    <t xml:space="preserve">Dans les 45 premiers jours </t>
  </si>
  <si>
    <t xml:space="preserve">Individual odometer entries </t>
  </si>
  <si>
    <t>Entrées individuelles du compteur</t>
  </si>
  <si>
    <t>Insurance</t>
  </si>
  <si>
    <t>Assurance</t>
  </si>
  <si>
    <t>Insurance proceeds</t>
  </si>
  <si>
    <t>Produit d'assurance</t>
  </si>
  <si>
    <t>Interest expense</t>
  </si>
  <si>
    <t>Frais d'intérêt</t>
  </si>
  <si>
    <t>km (END minus START) may be nil or negative</t>
  </si>
  <si>
    <t>km (FIN moins DÉBUT) peut être nul ou négatif</t>
  </si>
  <si>
    <t>km driven in year</t>
  </si>
  <si>
    <t>km parcourus dans l'année</t>
  </si>
  <si>
    <t>km in month</t>
  </si>
  <si>
    <t>km dans le mois</t>
  </si>
  <si>
    <t>Largest</t>
  </si>
  <si>
    <t>Plus élevé</t>
  </si>
  <si>
    <t>Largest END reading for any car</t>
  </si>
  <si>
    <t>Lecture de FIN la plus élevée de toutes les voitures</t>
  </si>
  <si>
    <t>Largest trip reading</t>
  </si>
  <si>
    <t>Déplace-
ment le plus grand en km</t>
  </si>
  <si>
    <t>Lease cost</t>
  </si>
  <si>
    <t>Frais de location</t>
  </si>
  <si>
    <t>Miscellaneous expenses</t>
  </si>
  <si>
    <t>Dépenses diverses</t>
  </si>
  <si>
    <t>Month (mm)</t>
  </si>
  <si>
    <t>Mois (mm)</t>
  </si>
  <si>
    <t>Monthly records:
Days missing or not in order?</t>
  </si>
  <si>
    <t>Registres mensuels :
Jours manquants ou non ordonnés?</t>
  </si>
  <si>
    <t>No data</t>
  </si>
  <si>
    <t>Pas de données</t>
  </si>
  <si>
    <t>No problem</t>
  </si>
  <si>
    <t>Pas de problème</t>
  </si>
  <si>
    <t>Normal repairs and maintenance</t>
  </si>
  <si>
    <t>Réparations et entretien courants</t>
  </si>
  <si>
    <t>(No personal kilometres)</t>
  </si>
  <si>
    <t>(Pas de kilométrage personnel)</t>
  </si>
  <si>
    <t>Odometer for start and/or end of month</t>
  </si>
  <si>
    <t>Compteur pour le début et/ou la fin du mois</t>
  </si>
  <si>
    <t xml:space="preserve">Odometer: </t>
  </si>
  <si>
    <t xml:space="preserve">Compteur de kilométrage : </t>
  </si>
  <si>
    <t>Odometer at end of previous month</t>
  </si>
  <si>
    <t>Lecture du compteur à la fin du mois précédent</t>
  </si>
  <si>
    <t>ok</t>
  </si>
  <si>
    <t xml:space="preserve">◄ ◄ ◄ Only </t>
  </si>
  <si>
    <t xml:space="preserve">◄ ◄ ◄ Seulement </t>
  </si>
  <si>
    <t>Other operating expenses (incl. licence, registration)</t>
  </si>
  <si>
    <t>Autres frais d'exploitation (comme l'immatriculation et le permis)</t>
  </si>
  <si>
    <t>Parking</t>
  </si>
  <si>
    <t>Station-
nement</t>
  </si>
  <si>
    <t xml:space="preserve">(Payments made from </t>
  </si>
  <si>
    <t xml:space="preserve">(Paiements faits de </t>
  </si>
  <si>
    <t>Payments to Employer</t>
  </si>
  <si>
    <t>Paiements à l'employeur</t>
  </si>
  <si>
    <t>Payments you made to your employer in the year or within 45 days after year end should be recorded here.</t>
  </si>
  <si>
    <t>Inscrire ici les paiements faits à votre employeur dans l'année ou dans les 45 jours de la fin de l'année.</t>
  </si>
  <si>
    <t>Personal km</t>
  </si>
  <si>
    <t>km personnel</t>
  </si>
  <si>
    <t>Problem</t>
  </si>
  <si>
    <t>Problème</t>
  </si>
  <si>
    <t>A. 
Purpose and notes</t>
  </si>
  <si>
    <t>A. 
But et notes</t>
  </si>
  <si>
    <t>Quebec</t>
  </si>
  <si>
    <t>Québec</t>
  </si>
  <si>
    <t>Reimbursements from employer</t>
  </si>
  <si>
    <t>Remboursements de l'employeur</t>
  </si>
  <si>
    <t>Row</t>
  </si>
  <si>
    <t>Rangée</t>
  </si>
  <si>
    <t>Smallest</t>
  </si>
  <si>
    <t>Plus petit</t>
  </si>
  <si>
    <t>Smallest START reading for any car</t>
  </si>
  <si>
    <t>Lecture de DÉBUT la moins élevée de toutes les voitures</t>
  </si>
  <si>
    <t>Smallest trip reading</t>
  </si>
  <si>
    <t>Déplace- 
ment le plus petit en km</t>
  </si>
  <si>
    <t>Special
notes:</t>
  </si>
  <si>
    <t>Notes
spéciales :</t>
  </si>
  <si>
    <t>Special notes:</t>
  </si>
  <si>
    <t>Notes spéciales :</t>
  </si>
  <si>
    <t>Start</t>
  </si>
  <si>
    <t>Début</t>
  </si>
  <si>
    <t>START
exceeds smallest reading in the month</t>
  </si>
  <si>
    <t>DÉBUT
excède la plus petite lecture du mois</t>
  </si>
  <si>
    <t>START
does not match END of previous month</t>
  </si>
  <si>
    <t>DÉBUT
ne concorde pas avec la FIN du mois précédent</t>
  </si>
  <si>
    <t>taxable benefit may be reduced</t>
  </si>
  <si>
    <t>avantage imposable peut être réduit</t>
  </si>
  <si>
    <t>Total</t>
  </si>
  <si>
    <t>Totals</t>
  </si>
  <si>
    <t>Totaux</t>
  </si>
  <si>
    <t>Total of monthly summaries</t>
  </si>
  <si>
    <t>Total des sommaires mensuels</t>
  </si>
  <si>
    <t>to mark (below) days on which the car is not available for any use</t>
  </si>
  <si>
    <t>pour indiquer (ci-dessous) les jours pour lesquels l'automobile n'est pas disponible.</t>
  </si>
  <si>
    <t>Type in yellow or amber cells only</t>
  </si>
  <si>
    <t>Saisir les données dans les cellules jaunes ou ambres.</t>
  </si>
  <si>
    <t>Unavailable for month</t>
  </si>
  <si>
    <t>Non disponible pour le mois</t>
  </si>
  <si>
    <t>Except in Quebec, self-employed individuals can use an automobile logbook maintained for a sample period to support motor vehicle expenses in certain cases.</t>
  </si>
  <si>
    <t>À l'exception du Québec, les travailleurs autonomes peuvent utiliser, dans certains cas, un registre pour une période représentative pour étayer les calculs des frais d'un véhicule.</t>
  </si>
  <si>
    <t>Use</t>
  </si>
  <si>
    <t>Inscrire un</t>
  </si>
  <si>
    <t>When more than one car is used in a month, some diagnostics for START and END odometer readings are not reliable for that month) ▼</t>
  </si>
  <si>
    <t>Lorsque deux véhicules ou plus sont utilisés au cours du mois, certains diagnostics pour les lectures du DÉBUT et de la FIN ne sont pas fiables pour ce mois</t>
  </si>
  <si>
    <t>www.pwc.com/ca/carexpenses</t>
  </si>
  <si>
    <t>www.pwc.com/ca/automobile</t>
  </si>
  <si>
    <t>Year (yy)</t>
  </si>
  <si>
    <t>Année (aa)</t>
  </si>
  <si>
    <t>Sun</t>
  </si>
  <si>
    <t>Dim</t>
  </si>
  <si>
    <t>Mon</t>
  </si>
  <si>
    <t>Lun</t>
  </si>
  <si>
    <t>Tue</t>
  </si>
  <si>
    <t>Mar</t>
  </si>
  <si>
    <t>Wed</t>
  </si>
  <si>
    <t>Mer</t>
  </si>
  <si>
    <t>Thu</t>
  </si>
  <si>
    <t>Jeu</t>
  </si>
  <si>
    <t>Fri</t>
  </si>
  <si>
    <t>Ven</t>
  </si>
  <si>
    <t>Sat</t>
  </si>
  <si>
    <t>Sam</t>
  </si>
  <si>
    <t>January</t>
  </si>
  <si>
    <t>janvier</t>
  </si>
  <si>
    <t>February</t>
  </si>
  <si>
    <t>février</t>
  </si>
  <si>
    <t>March</t>
  </si>
  <si>
    <t>mars</t>
  </si>
  <si>
    <t>April</t>
  </si>
  <si>
    <t>avril</t>
  </si>
  <si>
    <t>May</t>
  </si>
  <si>
    <t>mai</t>
  </si>
  <si>
    <t>June</t>
  </si>
  <si>
    <t>juin</t>
  </si>
  <si>
    <t>July</t>
  </si>
  <si>
    <t>juillet</t>
  </si>
  <si>
    <t>August</t>
  </si>
  <si>
    <t>août</t>
  </si>
  <si>
    <t>September</t>
  </si>
  <si>
    <t>septembre</t>
  </si>
  <si>
    <t>October</t>
  </si>
  <si>
    <t>octobre</t>
  </si>
  <si>
    <t>November</t>
  </si>
  <si>
    <t>novembre</t>
  </si>
  <si>
    <t>December</t>
  </si>
  <si>
    <t>décembre</t>
  </si>
  <si>
    <t>QST rebate received</t>
  </si>
  <si>
    <t>Remboursement de la TVQ reçue</t>
  </si>
  <si>
    <t>If you do not see this below, please zoom out.</t>
  </si>
  <si>
    <t>F164_</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</si>
  <si>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</si>
  <si>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</si>
  <si>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F167_</t>
  </si>
  <si>
    <t>F168_</t>
  </si>
  <si>
    <t>F169_</t>
  </si>
  <si>
    <t>F170_</t>
  </si>
  <si>
    <t>F171_</t>
  </si>
  <si>
    <t>F172_</t>
  </si>
  <si>
    <t>F173_</t>
  </si>
  <si>
    <t>F174_</t>
  </si>
  <si>
    <t>F175_</t>
  </si>
  <si>
    <t>F176_</t>
  </si>
  <si>
    <t>F177_</t>
  </si>
  <si>
    <t>F178_</t>
  </si>
  <si>
    <t>F179_</t>
  </si>
  <si>
    <t>F180_</t>
  </si>
  <si>
    <t>F181_</t>
  </si>
  <si>
    <t>F182_</t>
  </si>
  <si>
    <t>F183_</t>
  </si>
  <si>
    <t>Car Expenses and Benefits log – Instructions</t>
  </si>
  <si>
    <t>Journal de bord avantages et dépenses
d'automobile – instructions d'utilisation</t>
  </si>
  <si>
    <t>.</t>
  </si>
  <si>
    <t>For more information, see:</t>
  </si>
  <si>
    <t xml:space="preserve">Pour en savoir plus, consultez le document : </t>
  </si>
  <si>
    <t>Car Expenses and Benefits  – A Tax Guide</t>
  </si>
  <si>
    <t>Utilisation d'une automobile – Guide fiscal</t>
  </si>
  <si>
    <t>Colours In Spreadsheet</t>
  </si>
  <si>
    <t>Couleurs utilisées dans la feuille de calcul</t>
  </si>
  <si>
    <t>The following colours are used for the cells:</t>
  </si>
  <si>
    <t>Les couleurs qui apparaissent dans les cellules ont les significations suivantes.</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</si>
  <si>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</si>
  <si>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</si>
  <si>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</si>
  <si>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</si>
  <si>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</si>
  <si>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</si>
  <si>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</si>
  <si>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</si>
  <si>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Two Sections </t>
  </si>
  <si>
    <t xml:space="preserve">Deux sections </t>
  </si>
  <si>
    <t xml:space="preserve">1.  Annual Summary </t>
  </si>
  <si>
    <t>1.  Sommaire annuel</t>
  </si>
  <si>
    <t xml:space="preserve"> </t>
  </si>
  <si>
    <t>Use the Annual Summary to enter the year, any special notes
and (towards the left) any months for which no car was available.</t>
  </si>
  <si>
    <t>Utilisez le Sommaire annuel pour saisir l'année, des observations précises
et (vers la gauche) tous les mois au cours desquels aucun véhicule n'était disponible.</t>
  </si>
  <si>
    <t>The Annual Summary provides:</t>
  </si>
  <si>
    <t>Contenu du Sommaire annuel :</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</si>
  <si>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</si>
  <si>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</si>
  <si>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</si>
  <si>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   Partie inférieure – diagnostics de détection des erreurs (comme les coquilles); 
      il peut arriver qu'aucune correction ne soit nécessaire.</t>
  </si>
  <si>
    <t>2.  Monthly Logs</t>
  </si>
  <si>
    <t>2.  Journaux mensuels</t>
  </si>
  <si>
    <t>Use the monthly logs to record dates, distances and expenditures:</t>
  </si>
  <si>
    <t>Utilisez les journaux mensuels pour consigner les dates, les distances et les dépenses :</t>
  </si>
  <si>
    <t>–   Top – Fill out at the beginning or end of the month, as appropriate.</t>
  </si>
  <si>
    <t>–   Partie supérieure – à remplir au début ou à la fin du mois, selon le cas.</t>
  </si>
  <si>
    <t>–   Bottom – Fill out daily. (If you did not use the car for business purposes, enter only the date). 
      To the right of "C. Destination" enter only numbers, not text.</t>
  </si>
  <si>
    <t>–   Partie inférieure – à remplir chaque jour. (Si vous n'avez pas utilisé le véhicule pour affaires,
      n'entrez que la date.) À la droite de la colonne « C. Destination » n'entrez que des chiffres, et non pas du texte.</t>
  </si>
  <si>
    <t>3.  Payments to Employer</t>
  </si>
  <si>
    <t>3.  Paiements ($) à l'employeur</t>
  </si>
  <si>
    <t xml:space="preserve">Record any payments you made to your employer in respect of the car(s), in the year or within 45 days after year end. </t>
  </si>
  <si>
    <t xml:space="preserve">Entrez tout paiement que vous avez fait à votre employeur relativement au véhicule, dans l'exercice en cours ou dans un délai de 45 jours suivant la fin de l'exercice. </t>
  </si>
  <si>
    <t>Feedback</t>
  </si>
  <si>
    <t>Vos commentaires</t>
  </si>
  <si>
    <t>Please send any comments to:</t>
  </si>
  <si>
    <t>N'hésitez pas à nous faire part de vos commentaires à l'adresse suivante :</t>
  </si>
  <si>
    <t>tax.services@ca.info.pwc.com</t>
  </si>
  <si>
    <t>Please save this file 
in a convenient location 
and save it frequently.</t>
  </si>
  <si>
    <t>Veuillez enregistrer 
le fichier dans vos dossiers 
et ne pas oublier de faire des 
enregistrements fréquents.</t>
  </si>
  <si>
    <t>HIDE THESE COLUMNS. PROTECT SHEET BEFORE SAVING</t>
  </si>
  <si>
    <t>Check year and month:</t>
  </si>
  <si>
    <t>Days driven for business</t>
  </si>
  <si>
    <t>Rest of Canada</t>
  </si>
  <si>
    <t>Is number?</t>
  </si>
  <si>
    <t>Missing number?</t>
  </si>
  <si>
    <t>Show warning</t>
  </si>
  <si>
    <t>◄ ◄ Only 31 days in month</t>
  </si>
  <si>
    <t>Month</t>
  </si>
  <si>
    <t>◄ Month (m or mm)</t>
  </si>
  <si>
    <t>January, 2000</t>
  </si>
  <si>
    <t>◄ ◄ Cannot skip any days</t>
  </si>
  <si>
    <t>Year</t>
  </si>
  <si>
    <t>◄ ◄ Days out of sequence</t>
  </si>
  <si>
    <t>Unavailable</t>
  </si>
  <si>
    <t>Totals:</t>
  </si>
  <si>
    <t>Missing days?</t>
  </si>
  <si>
    <t/>
  </si>
  <si>
    <t xml:space="preserve">DRIVEN FOR FOR BUSINESS ON </t>
  </si>
  <si>
    <t>Max of previous rows,s KM</t>
  </si>
  <si>
    <t>Min of subsequent rows' KM</t>
  </si>
  <si>
    <t>First dates with odometer out of sequence</t>
  </si>
  <si>
    <t>Previous entry</t>
  </si>
  <si>
    <t>0=blank sheet</t>
  </si>
  <si>
    <t>Unavail any use</t>
  </si>
  <si>
    <t>Days in month</t>
  </si>
  <si>
    <t>Last day in month that is listed</t>
  </si>
  <si>
    <t>Next entry</t>
  </si>
  <si>
    <t>Marker</t>
  </si>
  <si>
    <t>X</t>
  </si>
  <si>
    <t>Avail any use</t>
  </si>
  <si>
    <t>Words (Eng or Fre) for formulas below</t>
  </si>
  <si>
    <t xml:space="preserve"> Monthly odometer readings</t>
  </si>
  <si>
    <t>0 = no data</t>
  </si>
  <si>
    <t>Month unavailable</t>
  </si>
  <si>
    <t>Days unavailable for any use</t>
  </si>
  <si>
    <t>This makes the monthly worksheets number themselves correctly from 1 to 12"</t>
  </si>
  <si>
    <t>Cars used</t>
  </si>
  <si>
    <t>End &lt; start?</t>
  </si>
  <si>
    <t>N/A</t>
  </si>
  <si>
    <t>Previous END</t>
  </si>
  <si>
    <t>Odom line probs</t>
  </si>
  <si>
    <t>No values</t>
  </si>
  <si>
    <t>LAST END</t>
  </si>
  <si>
    <t>$Bn$15</t>
  </si>
  <si>
    <t>Smallest start</t>
  </si>
  <si>
    <t>Largest end</t>
  </si>
  <si>
    <t>Minimum</t>
  </si>
  <si>
    <t>Maximum</t>
  </si>
  <si>
    <t>English</t>
  </si>
  <si>
    <t>Français</t>
  </si>
  <si>
    <t>Unavail for business</t>
  </si>
  <si>
    <t>Check month:</t>
  </si>
  <si>
    <t>MONTH</t>
  </si>
  <si>
    <t>0 = blank sheet</t>
  </si>
  <si>
    <t>Start and end</t>
  </si>
  <si>
    <t>Problem in daily odometer readings?</t>
  </si>
  <si>
    <t>FIRST</t>
  </si>
  <si>
    <t>Min and Max</t>
  </si>
  <si>
    <t>Count of km entries</t>
  </si>
  <si>
    <t>Min start km entry</t>
  </si>
  <si>
    <t>Language</t>
  </si>
  <si>
    <t>Days missing or out of sequence?? (Yes if &gt; 0)</t>
  </si>
  <si>
    <t>Max end km entry</t>
  </si>
  <si>
    <t>Last day entered</t>
  </si>
  <si>
    <t>Not avail for Business</t>
  </si>
  <si>
    <t>Row of last entry to count</t>
  </si>
  <si>
    <t>From annual summary: X = unavail for month</t>
  </si>
  <si>
    <t>Last</t>
  </si>
  <si>
    <t>Previous end</t>
  </si>
  <si>
    <t>F</t>
  </si>
  <si>
    <t>T20&amp;". "&amp;" "&amp;R20&amp;" "&amp;U20&amp;" "&amp;$AE$7</t>
  </si>
  <si>
    <t>QUEBEC ONLY</t>
  </si>
  <si>
    <t>SUM this date?</t>
  </si>
  <si>
    <t>ENG</t>
  </si>
  <si>
    <t>T20&amp;". "&amp;U20&amp;" "&amp;R20&amp;", "&amp;$AE$7</t>
  </si>
  <si>
    <t>Days skipped or out of sequence?? (Yes if &gt; 0)</t>
  </si>
  <si>
    <t>ENG or FRE</t>
  </si>
  <si>
    <t>entries that day</t>
  </si>
  <si>
    <t>Km to count</t>
  </si>
  <si>
    <t>MAX. OFFSET</t>
  </si>
  <si>
    <t>Start in range</t>
  </si>
  <si>
    <t>End in range</t>
  </si>
  <si>
    <t>NTS ONLY'!E106&amp;TEXT(I7-44,"Mmmm d, Yyyy")&amp;" to "&amp;TEXT(I7,"Mmmm d, Yyyy")&amp;'NTS ONLY'!E25&amp;TEXT(I7,"Yyyy")&amp;" or "&amp;TEXT(I7-99,"Yyyy")&amp;".)"</t>
  </si>
  <si>
    <t>Eng</t>
  </si>
  <si>
    <t>Fre</t>
  </si>
  <si>
    <t>A number?</t>
  </si>
  <si>
    <t>Not too late?</t>
  </si>
  <si>
    <t>Not too early?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</si>
</sst>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18">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10"/>
      <color indexed="13"/>
      <name val="Arial"/>
      <family val="2"/>
    </font>
    <font>
      <sz val="10"/>
      <name val="Arial"/>
      <family val="2"/>
    </font>
    <font>
      <sz val="10"/>
      <color indexed="9"/>
      <name val="Arial"/>
      <family val="2"/>
    </font>
    <font>
      <b/>
      <sz val="10"/>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u/>
      <sz val="9"/>
      <color indexed="12"/>
      <name val="Arial"/>
      <family val="2"/>
    </font>
    <font>
      <i/>
      <sz val="9"/>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830">
    <xf numFmtId="0" fontId="0" fillId="0" borderId="0" xfId="0"/>
    <xf numFmtId="0" fontId="0" fillId="2" borderId="0" xfId="0" applyFill="1"/>
    <xf numFmtId="0" fontId="0" fillId="0" borderId="0" xfId="0" applyAlignment="1">
      <alignment vertical="center"/>
    </xf>
    <xf numFmtId="0" fontId="0" fillId="3" borderId="0" xfId="0" applyFill="1"/>
    <xf numFmtId="0" fontId="0" fillId="0" borderId="0" xfId="0" applyAlignment="1">
      <alignment vertical="top"/>
    </xf>
    <xf numFmtId="0" fontId="0" fillId="2" borderId="0" xfId="0" applyFill="1" applyAlignment="1">
      <alignment vertical="top"/>
    </xf>
    <xf numFmtId="166" fontId="7" fillId="2" borderId="0" xfId="0" applyNumberFormat="1" applyFont="1" applyFill="1" applyAlignment="1">
      <alignment horizontal="left"/>
    </xf>
    <xf numFmtId="0" fontId="0" fillId="4" borderId="0" xfId="0" applyFill="1"/>
    <xf numFmtId="0" fontId="0" fillId="4" borderId="0" xfId="0" applyFill="1" applyAlignment="1">
      <alignment vertical="top"/>
    </xf>
    <xf numFmtId="0" fontId="17"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Alignment="1">
      <alignment horizontal="right" vertical="center" indent="1"/>
    </xf>
    <xf numFmtId="0" fontId="11" fillId="5" borderId="0" xfId="0" applyFont="1" applyFill="1" applyAlignment="1">
      <alignment horizontal="right" vertical="center"/>
    </xf>
    <xf numFmtId="0" fontId="9" fillId="3" borderId="0" xfId="0" applyFont="1" applyFill="1" applyAlignment="1">
      <alignment horizontal="right"/>
    </xf>
    <xf numFmtId="0" fontId="0" fillId="6" borderId="0" xfId="0" applyFill="1"/>
    <xf numFmtId="165" fontId="16" fillId="7" borderId="0" xfId="0" applyNumberFormat="1" applyFont="1" applyFill="1" applyAlignment="1">
      <alignment horizontal="center" vertical="top"/>
    </xf>
    <xf numFmtId="165" fontId="20" fillId="8" borderId="7" xfId="0" applyNumberFormat="1" applyFont="1" applyFill="1" applyBorder="1" applyAlignment="1">
      <alignment horizontal="center" vertical="top"/>
    </xf>
    <xf numFmtId="0" fontId="0" fillId="8" borderId="0" xfId="0" applyFill="1"/>
    <xf numFmtId="0" fontId="2" fillId="8" borderId="0" xfId="0" applyFont="1" applyFill="1" applyAlignment="1">
      <alignment horizontal="right"/>
    </xf>
    <xf numFmtId="0" fontId="9" fillId="5" borderId="9" xfId="0" applyFont="1" applyFill="1" applyBorder="1" applyAlignment="1">
      <alignment horizontal="right" wrapText="1"/>
    </xf>
    <xf numFmtId="0" fontId="0" fillId="5" borderId="9" xfId="0" applyFill="1" applyBorder="1"/>
    <xf numFmtId="0" fontId="0" fillId="5" borderId="0" xfId="0" applyFill="1"/>
    <xf numFmtId="0" fontId="0" fillId="2" borderId="10" xfId="0" applyFill="1" applyBorder="1" applyAlignment="1">
      <alignment wrapText="1"/>
    </xf>
    <xf numFmtId="0" fontId="25" fillId="4" borderId="0" xfId="0" applyFont="1" applyFill="1"/>
    <xf numFmtId="0" fontId="25" fillId="0" borderId="0" xfId="0" applyFont="1"/>
    <xf numFmtId="0" fontId="28" fillId="0" borderId="0" xfId="0" applyFont="1" applyAlignment="1">
      <alignment horizontal="right"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Alignment="1">
      <alignment wrapText="1"/>
    </xf>
    <xf numFmtId="0" fontId="11" fillId="5" borderId="0" xfId="0" applyFont="1" applyFill="1" applyAlignment="1">
      <alignment horizontal="left" vertical="top"/>
    </xf>
    <xf numFmtId="0" fontId="2" fillId="0" borderId="0" xfId="0" applyFont="1" applyAlignment="1">
      <alignment horizontal="right"/>
    </xf>
    <xf numFmtId="0" fontId="26" fillId="8" borderId="0" xfId="0" applyFont="1" applyFill="1" applyAlignment="1">
      <alignment textRotation="90" wrapText="1"/>
    </xf>
    <xf numFmtId="0" fontId="24" fillId="8" borderId="0" xfId="0" applyFont="1" applyFill="1" applyAlignment="1">
      <alignment horizontal="center"/>
    </xf>
    <xf numFmtId="0" fontId="25" fillId="8" borderId="0" xfId="0" applyFont="1" applyFill="1"/>
    <xf numFmtId="0" fontId="9" fillId="5" borderId="0" xfId="0" applyFont="1" applyFill="1" applyAlignment="1">
      <alignment horizontal="right" wrapText="1"/>
    </xf>
    <xf numFmtId="0" fontId="30" fillId="0" borderId="0" xfId="0" applyFont="1" applyAlignment="1">
      <alignment horizontal="center" wrapText="1"/>
    </xf>
    <xf numFmtId="0" fontId="29" fillId="0" borderId="0" xfId="0" applyFont="1" applyAlignment="1">
      <alignment horizontal="right" vertical="top" indent="2"/>
    </xf>
    <xf numFmtId="0" fontId="0" fillId="0" borderId="0" xfId="0" applyAlignment="1">
      <alignment horizontal="right" vertical="top" indent="2"/>
    </xf>
    <xf numFmtId="0" fontId="34" fillId="2" borderId="0" xfId="0" applyFont="1" applyFill="1" applyAlignment="1">
      <alignment horizontal="left" wrapText="1"/>
    </xf>
    <xf numFmtId="0" fontId="30" fillId="2" borderId="0" xfId="0" applyFont="1" applyFill="1" applyAlignment="1">
      <alignment horizontal="center" wrapText="1"/>
    </xf>
    <xf numFmtId="0" fontId="32" fillId="2" borderId="0" xfId="0" applyFont="1" applyFill="1" applyAlignment="1">
      <alignment horizontal="right" wrapText="1" indent="1"/>
    </xf>
    <xf numFmtId="166" fontId="34" fillId="2" borderId="0" xfId="0" applyNumberFormat="1" applyFont="1" applyFill="1" applyAlignment="1">
      <alignment horizontal="right" wrapText="1"/>
    </xf>
    <xf numFmtId="166" fontId="34" fillId="2" borderId="0" xfId="0" applyNumberFormat="1" applyFont="1" applyFill="1" applyAlignment="1">
      <alignment horizontal="left" wrapText="1" indent="1"/>
    </xf>
    <xf numFmtId="0" fontId="4" fillId="2" borderId="0" xfId="0" applyFont="1" applyFill="1" applyAlignment="1">
      <alignment vertical="top" wrapText="1"/>
    </xf>
    <xf numFmtId="0" fontId="11" fillId="5" borderId="17" xfId="0" applyFont="1" applyFill="1" applyBorder="1" applyAlignment="1">
      <alignment horizontal="right" vertical="center" indent="1"/>
    </xf>
    <xf numFmtId="0" fontId="8" fillId="0" borderId="0" xfId="0" applyFont="1" applyAlignment="1">
      <alignment horizontal="right"/>
    </xf>
    <xf numFmtId="0" fontId="15" fillId="5" borderId="0" xfId="0" applyFont="1" applyFill="1" applyAlignment="1">
      <alignment horizontal="center"/>
    </xf>
    <xf numFmtId="0" fontId="37" fillId="0" borderId="0" xfId="0" applyFont="1" applyAlignment="1">
      <alignment horizontal="right" vertical="center"/>
    </xf>
    <xf numFmtId="166" fontId="11" fillId="5" borderId="0" xfId="0" applyNumberFormat="1" applyFont="1" applyFill="1" applyAlignment="1">
      <alignment horizontal="center" vertical="top"/>
    </xf>
    <xf numFmtId="0" fontId="32" fillId="0" borderId="0" xfId="0" applyFont="1" applyAlignment="1">
      <alignment horizontal="center" wrapText="1"/>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0" fontId="11" fillId="5" borderId="0" xfId="0" applyFont="1" applyFill="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11" fillId="5" borderId="10" xfId="0" applyNumberFormat="1" applyFont="1" applyFill="1" applyBorder="1" applyAlignment="1">
      <alignment horizontal="center" vertical="top"/>
    </xf>
    <xf numFmtId="0" fontId="3" fillId="8" borderId="0" xfId="0" applyFont="1" applyFill="1" applyAlignment="1">
      <alignment vertical="center"/>
    </xf>
    <xf numFmtId="0" fontId="38" fillId="0" borderId="0" xfId="0" applyFont="1" applyAlignment="1">
      <alignment vertical="center"/>
    </xf>
    <xf numFmtId="0" fontId="11" fillId="5" borderId="0" xfId="0" applyFont="1" applyFill="1" applyAlignment="1">
      <alignment horizontal="right" vertical="top"/>
    </xf>
    <xf numFmtId="0" fontId="11" fillId="5" borderId="0" xfId="0" applyFont="1" applyFill="1" applyAlignment="1">
      <alignment horizontal="right"/>
    </xf>
    <xf numFmtId="0" fontId="11" fillId="5" borderId="0" xfId="0" applyFont="1" applyFill="1" applyAlignment="1">
      <alignment horizontal="left"/>
    </xf>
    <xf numFmtId="0" fontId="0" fillId="2" borderId="10" xfId="0" applyFill="1" applyBorder="1"/>
    <xf numFmtId="0" fontId="34" fillId="2" borderId="22" xfId="0" applyFont="1" applyFill="1" applyBorder="1" applyAlignment="1">
      <alignment horizontal="left" wrapText="1"/>
    </xf>
    <xf numFmtId="0" fontId="0" fillId="5" borderId="24" xfId="0" applyFill="1" applyBorder="1"/>
    <xf numFmtId="164" fontId="9" fillId="5" borderId="29" xfId="0" applyNumberFormat="1" applyFont="1" applyFill="1" applyBorder="1" applyAlignment="1">
      <alignment horizontal="center" vertical="center"/>
    </xf>
    <xf numFmtId="167" fontId="39" fillId="2" borderId="0" xfId="0" applyNumberFormat="1" applyFont="1" applyFill="1" applyAlignment="1">
      <alignment horizontal="left" vertical="top" wrapText="1" shrinkToFit="1"/>
    </xf>
    <xf numFmtId="165" fontId="20" fillId="9" borderId="7" xfId="0" applyNumberFormat="1" applyFont="1" applyFill="1" applyBorder="1" applyAlignment="1">
      <alignment horizontal="center" vertical="top"/>
    </xf>
    <xf numFmtId="166" fontId="15" fillId="5" borderId="21" xfId="0" applyNumberFormat="1" applyFont="1" applyFill="1" applyBorder="1" applyAlignment="1">
      <alignment horizontal="center" vertical="center" wrapText="1"/>
    </xf>
    <xf numFmtId="165" fontId="16" fillId="7" borderId="30" xfId="0" applyNumberFormat="1" applyFont="1" applyFill="1" applyBorder="1" applyAlignment="1">
      <alignment horizontal="center" vertical="top"/>
    </xf>
    <xf numFmtId="165" fontId="16" fillId="7" borderId="31" xfId="0" applyNumberFormat="1" applyFont="1" applyFill="1" applyBorder="1" applyAlignment="1">
      <alignment horizontal="center" vertical="top"/>
    </xf>
    <xf numFmtId="167" fontId="20" fillId="8" borderId="7" xfId="0" applyNumberFormat="1" applyFont="1" applyFill="1" applyBorder="1" applyAlignment="1">
      <alignment horizontal="right" vertical="top"/>
    </xf>
    <xf numFmtId="0" fontId="12" fillId="11" borderId="0" xfId="0" applyFont="1" applyFill="1" applyAlignment="1">
      <alignment horizontal="right" vertical="center" wrapText="1"/>
    </xf>
    <xf numFmtId="0" fontId="34" fillId="0" borderId="0" xfId="0" applyFont="1" applyAlignment="1">
      <alignment horizontal="left" wrapText="1"/>
    </xf>
    <xf numFmtId="167" fontId="31" fillId="2" borderId="32" xfId="0" applyNumberFormat="1" applyFont="1" applyFill="1" applyBorder="1" applyAlignment="1">
      <alignment horizontal="left" wrapText="1" shrinkToFit="1"/>
    </xf>
    <xf numFmtId="0" fontId="9" fillId="5" borderId="0" xfId="0" applyFont="1" applyFill="1" applyAlignment="1">
      <alignment horizontal="right" vertical="top"/>
    </xf>
    <xf numFmtId="0" fontId="9" fillId="5" borderId="0" xfId="0" applyFont="1" applyFill="1" applyAlignment="1">
      <alignment horizontal="right" vertical="top" indent="4"/>
    </xf>
    <xf numFmtId="0" fontId="45" fillId="0" borderId="0" xfId="0" applyFont="1" applyAlignment="1">
      <alignment horizontal="left" vertical="top" wrapText="1"/>
    </xf>
    <xf numFmtId="0" fontId="46" fillId="0" borderId="0" xfId="0" applyFont="1" applyAlignment="1">
      <alignment horizontal="left" vertical="top" wrapText="1"/>
    </xf>
    <xf numFmtId="0" fontId="48" fillId="0" borderId="0" xfId="0" applyFont="1" applyAlignment="1">
      <alignment horizontal="left" vertical="top" wrapText="1"/>
    </xf>
    <xf numFmtId="0" fontId="53" fillId="0" borderId="0" xfId="0" applyFont="1" applyAlignment="1">
      <alignment horizontal="center" vertical="top" wrapText="1"/>
    </xf>
    <xf numFmtId="0" fontId="52" fillId="12" borderId="34" xfId="0" applyFont="1" applyFill="1" applyBorder="1" applyAlignment="1">
      <alignment horizontal="left" vertical="center" wrapText="1"/>
    </xf>
    <xf numFmtId="0" fontId="0" fillId="0" borderId="0" xfId="0" applyAlignment="1">
      <alignment horizontal="left" vertical="top" wrapText="1"/>
    </xf>
    <xf numFmtId="0" fontId="55" fillId="12" borderId="35" xfId="0" applyFont="1" applyFill="1" applyBorder="1" applyAlignment="1">
      <alignment horizontal="right" vertical="center" wrapText="1"/>
    </xf>
    <xf numFmtId="0" fontId="51" fillId="14" borderId="0" xfId="0" applyFont="1" applyFill="1" applyAlignment="1">
      <alignment horizontal="right" vertical="center" wrapText="1"/>
    </xf>
    <xf numFmtId="0" fontId="44" fillId="0" borderId="0" xfId="0" applyFont="1" applyAlignment="1">
      <alignment vertical="top" wrapText="1"/>
    </xf>
    <xf numFmtId="165" fontId="20" fillId="8" borderId="0" xfId="0" applyNumberFormat="1" applyFont="1" applyFill="1" applyAlignment="1">
      <alignment horizontal="center" vertical="top"/>
    </xf>
    <xf numFmtId="0" fontId="0" fillId="5" borderId="9" xfId="0" applyFill="1" applyBorder="1" applyAlignment="1">
      <alignment vertical="top"/>
    </xf>
    <xf numFmtId="0" fontId="11" fillId="5" borderId="25" xfId="0" applyFont="1" applyFill="1" applyBorder="1" applyAlignment="1">
      <alignment horizontal="left" vertical="center" indent="1"/>
    </xf>
    <xf numFmtId="0" fontId="0" fillId="0" borderId="0" xfId="0" applyAlignment="1">
      <alignment horizontal="right" wrapText="1" indent="1"/>
    </xf>
    <xf numFmtId="0" fontId="18" fillId="0" borderId="0" xfId="0" applyFont="1" applyAlignment="1">
      <alignment horizontal="right" vertical="center"/>
    </xf>
    <xf numFmtId="0" fontId="26" fillId="0" borderId="0" xfId="0" applyFont="1" applyAlignment="1">
      <alignment textRotation="90" wrapText="1"/>
    </xf>
    <xf numFmtId="0" fontId="4" fillId="0" borderId="0" xfId="0" applyFont="1" applyAlignment="1">
      <alignment vertical="top" wrapText="1"/>
    </xf>
    <xf numFmtId="0" fontId="0" fillId="0" borderId="0" xfId="0" applyAlignment="1">
      <alignment horizontal="center" wrapText="1"/>
    </xf>
    <xf numFmtId="0" fontId="8" fillId="0" borderId="0" xfId="0" applyFont="1" applyAlignment="1">
      <alignment wrapText="1"/>
    </xf>
    <xf numFmtId="0" fontId="32" fillId="0" borderId="0" xfId="0" applyFont="1" applyAlignment="1">
      <alignment horizontal="left" wrapText="1" indent="1"/>
    </xf>
    <xf numFmtId="0" fontId="35" fillId="2" borderId="36" xfId="0" applyFont="1" applyFill="1" applyBorder="1" applyAlignment="1">
      <alignment horizontal="center" vertical="top" wrapText="1"/>
    </xf>
    <xf numFmtId="0" fontId="30" fillId="2" borderId="36" xfId="0" applyFont="1" applyFill="1" applyBorder="1" applyAlignment="1">
      <alignment horizontal="center" wrapText="1"/>
    </xf>
    <xf numFmtId="0" fontId="22" fillId="0" borderId="0" xfId="0" applyFont="1"/>
    <xf numFmtId="0" fontId="32" fillId="0" borderId="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4"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0" xfId="0" applyFont="1" applyAlignment="1">
      <alignment horizontal="center" vertical="center" wrapText="1"/>
    </xf>
    <xf numFmtId="0" fontId="30" fillId="0" borderId="21" xfId="0" applyFont="1" applyBorder="1" applyAlignment="1">
      <alignment horizontal="center" vertical="center" wrapText="1"/>
    </xf>
    <xf numFmtId="0" fontId="30" fillId="0" borderId="0" xfId="0" applyFont="1" applyAlignment="1">
      <alignment horizontal="center" vertical="center" wrapText="1"/>
    </xf>
    <xf numFmtId="0" fontId="30" fillId="0" borderId="25"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2" xfId="0" applyFont="1" applyBorder="1" applyAlignment="1">
      <alignment horizontal="center" vertical="center" wrapText="1"/>
    </xf>
    <xf numFmtId="166" fontId="2" fillId="2" borderId="30" xfId="0" applyNumberFormat="1" applyFont="1" applyFill="1" applyBorder="1" applyAlignment="1">
      <alignment horizontal="right" vertical="center"/>
    </xf>
    <xf numFmtId="0" fontId="57" fillId="0" borderId="0" xfId="0" applyFont="1"/>
    <xf numFmtId="0" fontId="57" fillId="0" borderId="0" xfId="0" applyFont="1" applyAlignment="1">
      <alignment horizontal="center"/>
    </xf>
    <xf numFmtId="0" fontId="57" fillId="0" borderId="0" xfId="0" applyFont="1" applyAlignment="1">
      <alignment vertical="center"/>
    </xf>
    <xf numFmtId="0" fontId="57" fillId="15" borderId="0" xfId="0" applyFont="1" applyFill="1" applyAlignment="1">
      <alignment vertical="center"/>
    </xf>
    <xf numFmtId="0" fontId="57" fillId="15" borderId="0" xfId="0" applyFont="1" applyFill="1" applyAlignment="1">
      <alignment horizontal="center" vertical="center"/>
    </xf>
    <xf numFmtId="0" fontId="58" fillId="15" borderId="0" xfId="0" applyFont="1" applyFill="1" applyAlignment="1">
      <alignment horizontal="center" vertical="center" textRotation="90"/>
    </xf>
    <xf numFmtId="0" fontId="59" fillId="15" borderId="0" xfId="0" applyFont="1" applyFill="1"/>
    <xf numFmtId="0" fontId="57" fillId="13" borderId="0" xfId="0" applyFont="1" applyFill="1" applyAlignment="1">
      <alignment vertical="top"/>
    </xf>
    <xf numFmtId="0" fontId="60" fillId="16" borderId="0" xfId="0" applyFont="1" applyFill="1" applyAlignment="1">
      <alignment horizontal="center"/>
    </xf>
    <xf numFmtId="0" fontId="59" fillId="15" borderId="42" xfId="0" applyFont="1" applyFill="1" applyBorder="1"/>
    <xf numFmtId="0" fontId="57" fillId="0" borderId="43" xfId="0" applyFont="1" applyBorder="1"/>
    <xf numFmtId="0" fontId="57" fillId="0" borderId="44" xfId="0" applyFont="1" applyBorder="1" applyAlignment="1">
      <alignment vertical="center"/>
    </xf>
    <xf numFmtId="0" fontId="57" fillId="0" borderId="45" xfId="0" applyFont="1" applyBorder="1" applyAlignment="1">
      <alignment horizontal="left"/>
    </xf>
    <xf numFmtId="0" fontId="57" fillId="0" borderId="44" xfId="0" applyFont="1" applyBorder="1" applyAlignment="1">
      <alignment horizontal="center"/>
    </xf>
    <xf numFmtId="0" fontId="57" fillId="0" borderId="44" xfId="0" applyFont="1" applyBorder="1" applyAlignment="1">
      <alignment shrinkToFit="1"/>
    </xf>
    <xf numFmtId="0" fontId="57" fillId="0" borderId="45" xfId="0" applyFont="1" applyBorder="1"/>
    <xf numFmtId="0" fontId="61" fillId="12" borderId="0" xfId="0" applyFont="1" applyFill="1" applyAlignment="1">
      <alignment horizontal="center"/>
    </xf>
    <xf numFmtId="0" fontId="57" fillId="0" borderId="46" xfId="0" applyFont="1" applyBorder="1" applyAlignment="1">
      <alignment horizontal="right"/>
    </xf>
    <xf numFmtId="0" fontId="57" fillId="0" borderId="0" xfId="0" applyFont="1" applyAlignment="1">
      <alignment horizontal="left" vertical="center"/>
    </xf>
    <xf numFmtId="0" fontId="57" fillId="0" borderId="47" xfId="0" applyFont="1" applyBorder="1" applyAlignment="1">
      <alignment horizontal="left"/>
    </xf>
    <xf numFmtId="0" fontId="62" fillId="4" borderId="48" xfId="0" applyFont="1" applyFill="1" applyBorder="1" applyAlignment="1">
      <alignment horizontal="right"/>
    </xf>
    <xf numFmtId="165" fontId="63" fillId="10" borderId="49" xfId="0" applyNumberFormat="1" applyFont="1" applyFill="1" applyBorder="1" applyAlignment="1">
      <alignment horizontal="center"/>
    </xf>
    <xf numFmtId="0" fontId="57" fillId="3" borderId="0" xfId="0" applyFont="1" applyFill="1"/>
    <xf numFmtId="165" fontId="57" fillId="0" borderId="0" xfId="0" applyNumberFormat="1" applyFont="1" applyAlignment="1">
      <alignment horizontal="center"/>
    </xf>
    <xf numFmtId="0" fontId="64" fillId="17" borderId="47" xfId="0" applyFont="1" applyFill="1" applyBorder="1"/>
    <xf numFmtId="0" fontId="65" fillId="12" borderId="0" xfId="0" applyFont="1" applyFill="1" applyAlignment="1">
      <alignment horizontal="center" vertical="top"/>
    </xf>
    <xf numFmtId="0" fontId="60" fillId="3" borderId="0" xfId="0" applyFont="1" applyFill="1" applyAlignment="1">
      <alignment horizontal="center"/>
    </xf>
    <xf numFmtId="0" fontId="66" fillId="12" borderId="34" xfId="0" applyFont="1" applyFill="1" applyBorder="1" applyAlignment="1">
      <alignment horizontal="left" vertical="center" wrapText="1"/>
    </xf>
    <xf numFmtId="0" fontId="57" fillId="12" borderId="50" xfId="0" applyFont="1" applyFill="1" applyBorder="1" applyAlignment="1">
      <alignment horizontal="right"/>
    </xf>
    <xf numFmtId="0" fontId="57" fillId="12" borderId="51" xfId="0" applyFont="1" applyFill="1" applyBorder="1" applyAlignment="1">
      <alignment horizontal="left" vertical="center"/>
    </xf>
    <xf numFmtId="0" fontId="57" fillId="12" borderId="52" xfId="0" applyFont="1" applyFill="1" applyBorder="1" applyAlignment="1">
      <alignment horizontal="left"/>
    </xf>
    <xf numFmtId="0" fontId="62" fillId="12" borderId="53" xfId="0" applyFont="1" applyFill="1" applyBorder="1" applyAlignment="1">
      <alignment horizontal="right"/>
    </xf>
    <xf numFmtId="165" fontId="63" fillId="12" borderId="54" xfId="0" applyNumberFormat="1" applyFont="1" applyFill="1" applyBorder="1" applyAlignment="1">
      <alignment horizontal="center"/>
    </xf>
    <xf numFmtId="0" fontId="57" fillId="12" borderId="51" xfId="0" applyFont="1" applyFill="1" applyBorder="1"/>
    <xf numFmtId="0" fontId="57" fillId="12" borderId="51" xfId="0" applyFont="1" applyFill="1" applyBorder="1" applyAlignment="1">
      <alignment horizontal="center"/>
    </xf>
    <xf numFmtId="0" fontId="57" fillId="13" borderId="52" xfId="0" applyFont="1" applyFill="1" applyBorder="1" applyAlignment="1">
      <alignment horizontal="center"/>
    </xf>
    <xf numFmtId="0" fontId="57" fillId="3" borderId="0" xfId="0" applyFont="1" applyFill="1" applyAlignment="1">
      <alignment horizontal="center"/>
    </xf>
    <xf numFmtId="0" fontId="57" fillId="18" borderId="0" xfId="0" applyFont="1" applyFill="1" applyAlignment="1">
      <alignment horizontal="center"/>
    </xf>
    <xf numFmtId="0" fontId="60" fillId="18" borderId="0" xfId="0" applyFont="1" applyFill="1" applyAlignment="1">
      <alignment horizontal="right"/>
    </xf>
    <xf numFmtId="0" fontId="67" fillId="18" borderId="0" xfId="0" applyFont="1" applyFill="1" applyAlignment="1">
      <alignment horizontal="center"/>
    </xf>
    <xf numFmtId="0" fontId="57" fillId="0" borderId="0" xfId="0" applyFont="1" applyAlignment="1">
      <alignment horizontal="left"/>
    </xf>
    <xf numFmtId="0" fontId="57" fillId="19" borderId="0" xfId="0" applyFont="1" applyFill="1"/>
    <xf numFmtId="166" fontId="57" fillId="19" borderId="0" xfId="0" applyNumberFormat="1" applyFont="1" applyFill="1" applyAlignment="1">
      <alignment horizontal="center"/>
    </xf>
    <xf numFmtId="166" fontId="57" fillId="19" borderId="0" xfId="0" applyNumberFormat="1" applyFont="1" applyFill="1" applyAlignment="1">
      <alignment vertical="top"/>
    </xf>
    <xf numFmtId="0" fontId="67" fillId="3" borderId="0" xfId="0" applyFont="1" applyFill="1" applyAlignment="1">
      <alignment horizontal="center" textRotation="90" wrapText="1"/>
    </xf>
    <xf numFmtId="0" fontId="67" fillId="3" borderId="0" xfId="0" applyFont="1" applyFill="1" applyAlignment="1">
      <alignment vertical="top" wrapText="1" shrinkToFit="1"/>
    </xf>
    <xf numFmtId="0" fontId="69" fillId="3" borderId="0" xfId="0" applyFont="1" applyFill="1" applyAlignment="1">
      <alignment vertical="top"/>
    </xf>
    <xf numFmtId="0" fontId="69" fillId="3" borderId="10" xfId="0" applyFont="1" applyFill="1" applyBorder="1" applyAlignment="1">
      <alignment vertical="top"/>
    </xf>
    <xf numFmtId="0" fontId="68" fillId="0" borderId="0" xfId="0" applyFont="1" applyAlignment="1">
      <alignment horizontal="center"/>
    </xf>
    <xf numFmtId="0" fontId="57" fillId="0" borderId="0" xfId="0" applyFont="1" applyAlignment="1">
      <alignment vertical="top"/>
    </xf>
    <xf numFmtId="167" fontId="57" fillId="19" borderId="0" xfId="0" applyNumberFormat="1" applyFont="1" applyFill="1"/>
    <xf numFmtId="167" fontId="57" fillId="19" borderId="0" xfId="0" applyNumberFormat="1" applyFont="1" applyFill="1" applyAlignment="1">
      <alignment horizontal="center"/>
    </xf>
    <xf numFmtId="0" fontId="57" fillId="19" borderId="0" xfId="0" applyFont="1" applyFill="1" applyAlignment="1">
      <alignment vertical="top"/>
    </xf>
    <xf numFmtId="0" fontId="57" fillId="0" borderId="22" xfId="0" applyFont="1" applyBorder="1" applyAlignment="1">
      <alignment vertical="top"/>
    </xf>
    <xf numFmtId="0" fontId="57" fillId="0" borderId="0" xfId="0" applyFont="1" applyAlignment="1">
      <alignment horizontal="center" vertical="top"/>
    </xf>
    <xf numFmtId="167" fontId="57" fillId="0" borderId="0" xfId="0" applyNumberFormat="1" applyFont="1"/>
    <xf numFmtId="167" fontId="57" fillId="0" borderId="0" xfId="0" applyNumberFormat="1" applyFont="1" applyAlignment="1">
      <alignment horizontal="center"/>
    </xf>
    <xf numFmtId="0" fontId="57" fillId="0" borderId="22" xfId="0" applyFont="1" applyBorder="1"/>
    <xf numFmtId="0" fontId="68" fillId="0" borderId="0" xfId="0" applyFont="1"/>
    <xf numFmtId="0" fontId="58" fillId="20" borderId="0" xfId="0" applyFont="1" applyFill="1" applyAlignment="1">
      <alignment horizontal="center"/>
    </xf>
    <xf numFmtId="165" fontId="70" fillId="0" borderId="0" xfId="0" applyNumberFormat="1" applyFont="1" applyAlignment="1">
      <alignment horizontal="center"/>
    </xf>
    <xf numFmtId="0" fontId="71" fillId="20" borderId="0" xfId="0" applyFont="1" applyFill="1" applyAlignment="1">
      <alignment horizontal="center"/>
    </xf>
    <xf numFmtId="0" fontId="72" fillId="0" borderId="0" xfId="0" applyFont="1" applyAlignment="1">
      <alignment horizontal="center"/>
    </xf>
    <xf numFmtId="165" fontId="60" fillId="3" borderId="0" xfId="0" applyNumberFormat="1" applyFont="1" applyFill="1" applyAlignment="1">
      <alignment horizontal="center"/>
    </xf>
    <xf numFmtId="0" fontId="60" fillId="21" borderId="55" xfId="0" applyFont="1" applyFill="1" applyBorder="1" applyAlignment="1">
      <alignment horizontal="center"/>
    </xf>
    <xf numFmtId="0" fontId="57" fillId="0" borderId="56" xfId="0" applyFont="1" applyBorder="1"/>
    <xf numFmtId="0" fontId="57" fillId="22" borderId="0" xfId="0" applyFont="1" applyFill="1"/>
    <xf numFmtId="0" fontId="60" fillId="18" borderId="0" xfId="0" applyFont="1" applyFill="1" applyAlignment="1">
      <alignment horizontal="left"/>
    </xf>
    <xf numFmtId="0" fontId="57" fillId="0" borderId="57" xfId="0" applyFont="1" applyBorder="1" applyAlignment="1">
      <alignment horizontal="center"/>
    </xf>
    <xf numFmtId="0" fontId="60" fillId="21" borderId="57" xfId="0" applyFont="1" applyFill="1" applyBorder="1" applyAlignment="1">
      <alignment horizontal="center"/>
    </xf>
    <xf numFmtId="0" fontId="68" fillId="22" borderId="0" xfId="0" applyFont="1" applyFill="1" applyAlignment="1">
      <alignment horizontal="left"/>
    </xf>
    <xf numFmtId="0" fontId="57" fillId="22" borderId="0" xfId="0" applyFont="1" applyFill="1" applyAlignment="1">
      <alignment horizontal="center"/>
    </xf>
    <xf numFmtId="0" fontId="67" fillId="21" borderId="57" xfId="0" applyFont="1" applyFill="1" applyBorder="1" applyAlignment="1">
      <alignment horizontal="center"/>
    </xf>
    <xf numFmtId="0" fontId="67" fillId="0" borderId="57" xfId="0" applyFont="1" applyBorder="1" applyAlignment="1">
      <alignment horizontal="center" wrapText="1"/>
    </xf>
    <xf numFmtId="0" fontId="57" fillId="23" borderId="0" xfId="0" applyFont="1" applyFill="1"/>
    <xf numFmtId="167" fontId="60" fillId="23" borderId="0" xfId="0" applyNumberFormat="1" applyFont="1" applyFill="1"/>
    <xf numFmtId="167" fontId="57" fillId="23" borderId="0" xfId="0" applyNumberFormat="1" applyFont="1" applyFill="1"/>
    <xf numFmtId="0" fontId="72" fillId="23" borderId="0" xfId="0" applyFont="1" applyFill="1" applyAlignment="1">
      <alignment horizontal="center"/>
    </xf>
    <xf numFmtId="0" fontId="57" fillId="23" borderId="0" xfId="0" applyFont="1" applyFill="1" applyAlignment="1">
      <alignment horizontal="center"/>
    </xf>
    <xf numFmtId="0" fontId="73" fillId="0" borderId="0" xfId="0" applyFont="1" applyAlignment="1">
      <alignment horizontal="center" wrapText="1"/>
    </xf>
    <xf numFmtId="0" fontId="67" fillId="0" borderId="57" xfId="0" applyFont="1" applyBorder="1" applyAlignment="1">
      <alignment horizontal="center"/>
    </xf>
    <xf numFmtId="0" fontId="67" fillId="0" borderId="56" xfId="0" applyFont="1" applyBorder="1" applyAlignment="1">
      <alignment horizontal="center"/>
    </xf>
    <xf numFmtId="0" fontId="67" fillId="23" borderId="7" xfId="0" applyFont="1" applyFill="1" applyBorder="1"/>
    <xf numFmtId="0" fontId="74" fillId="23" borderId="7" xfId="0" applyFont="1" applyFill="1" applyBorder="1" applyAlignment="1">
      <alignment horizontal="center"/>
    </xf>
    <xf numFmtId="0" fontId="74" fillId="23" borderId="7" xfId="0" applyFont="1" applyFill="1" applyBorder="1" applyAlignment="1">
      <alignment horizontal="left"/>
    </xf>
    <xf numFmtId="0" fontId="72" fillId="23" borderId="7" xfId="0" applyFont="1" applyFill="1" applyBorder="1" applyAlignment="1">
      <alignment horizontal="center"/>
    </xf>
    <xf numFmtId="0" fontId="57" fillId="23" borderId="7" xfId="0" applyFont="1" applyFill="1" applyBorder="1"/>
    <xf numFmtId="0" fontId="67" fillId="0" borderId="30" xfId="0" applyFont="1" applyBorder="1" applyAlignment="1">
      <alignment horizontal="center" wrapText="1"/>
    </xf>
    <xf numFmtId="0" fontId="73" fillId="0" borderId="58" xfId="0" applyFont="1" applyBorder="1" applyAlignment="1">
      <alignment horizontal="left" wrapText="1" indent="1"/>
    </xf>
    <xf numFmtId="0" fontId="57" fillId="13" borderId="59" xfId="0" applyFont="1" applyFill="1" applyBorder="1" applyAlignment="1">
      <alignment horizontal="left"/>
    </xf>
    <xf numFmtId="0" fontId="57" fillId="10" borderId="59" xfId="0" applyFont="1" applyFill="1" applyBorder="1" applyAlignment="1">
      <alignment horizontal="left"/>
    </xf>
    <xf numFmtId="0" fontId="57" fillId="0" borderId="59" xfId="0" applyFont="1" applyBorder="1" applyAlignment="1">
      <alignment horizontal="left"/>
    </xf>
    <xf numFmtId="0" fontId="57" fillId="22" borderId="59" xfId="0" applyFont="1" applyFill="1" applyBorder="1" applyAlignment="1">
      <alignment horizontal="left"/>
    </xf>
    <xf numFmtId="0" fontId="68" fillId="0" borderId="60" xfId="0" applyFont="1" applyBorder="1" applyAlignment="1">
      <alignment horizontal="left"/>
    </xf>
    <xf numFmtId="0" fontId="68" fillId="0" borderId="61" xfId="0" applyFont="1" applyBorder="1" applyAlignment="1">
      <alignment horizontal="center"/>
    </xf>
    <xf numFmtId="0" fontId="67" fillId="23" borderId="0" xfId="0" applyFont="1" applyFill="1"/>
    <xf numFmtId="0" fontId="74" fillId="23" borderId="0" xfId="0" applyFont="1" applyFill="1" applyAlignment="1">
      <alignment horizontal="center"/>
    </xf>
    <xf numFmtId="0" fontId="74" fillId="23" borderId="41" xfId="0" applyFont="1" applyFill="1" applyBorder="1" applyAlignment="1">
      <alignment horizontal="left"/>
    </xf>
    <xf numFmtId="0" fontId="67" fillId="0" borderId="0" xfId="0" applyFont="1" applyAlignment="1">
      <alignment horizontal="center" wrapText="1"/>
    </xf>
    <xf numFmtId="0" fontId="73" fillId="0" borderId="62" xfId="0" applyFont="1" applyBorder="1" applyAlignment="1">
      <alignment horizontal="left" wrapText="1" indent="1"/>
    </xf>
    <xf numFmtId="0" fontId="57" fillId="13" borderId="63" xfId="0" applyFont="1" applyFill="1" applyBorder="1" applyAlignment="1">
      <alignment horizontal="left"/>
    </xf>
    <xf numFmtId="0" fontId="57" fillId="10" borderId="63" xfId="0" applyFont="1" applyFill="1" applyBorder="1" applyAlignment="1">
      <alignment horizontal="left"/>
    </xf>
    <xf numFmtId="0" fontId="57" fillId="0" borderId="63" xfId="0" applyFont="1" applyBorder="1" applyAlignment="1">
      <alignment horizontal="left"/>
    </xf>
    <xf numFmtId="0" fontId="57" fillId="22" borderId="63" xfId="0" applyFont="1" applyFill="1" applyBorder="1" applyAlignment="1">
      <alignment horizontal="left"/>
    </xf>
    <xf numFmtId="0" fontId="68" fillId="0" borderId="0" xfId="0" applyFont="1" applyAlignment="1">
      <alignment horizontal="left"/>
    </xf>
    <xf numFmtId="0" fontId="68" fillId="0" borderId="64" xfId="0" applyFont="1" applyBorder="1" applyAlignment="1">
      <alignment horizontal="center"/>
    </xf>
    <xf numFmtId="0" fontId="67" fillId="23" borderId="41" xfId="0" applyFont="1" applyFill="1" applyBorder="1"/>
    <xf numFmtId="0" fontId="74" fillId="23" borderId="41" xfId="0" applyFont="1" applyFill="1" applyBorder="1" applyAlignment="1">
      <alignment horizontal="center"/>
    </xf>
    <xf numFmtId="0" fontId="74" fillId="23" borderId="0" xfId="0" applyFont="1" applyFill="1" applyAlignment="1">
      <alignment horizontal="left"/>
    </xf>
    <xf numFmtId="0" fontId="57" fillId="23" borderId="41" xfId="0" applyFont="1" applyFill="1" applyBorder="1"/>
    <xf numFmtId="0" fontId="67" fillId="0" borderId="31" xfId="0" applyFont="1" applyBorder="1" applyAlignment="1">
      <alignment horizontal="center" wrapText="1"/>
    </xf>
    <xf numFmtId="0" fontId="72" fillId="23" borderId="41" xfId="0" applyFont="1" applyFill="1" applyBorder="1" applyAlignment="1">
      <alignment horizontal="center"/>
    </xf>
    <xf numFmtId="0" fontId="73" fillId="0" borderId="65" xfId="0" applyFont="1" applyBorder="1" applyAlignment="1">
      <alignment horizontal="left" wrapText="1" indent="1"/>
    </xf>
    <xf numFmtId="0" fontId="57" fillId="13" borderId="66" xfId="0" applyFont="1" applyFill="1" applyBorder="1" applyAlignment="1">
      <alignment horizontal="left"/>
    </xf>
    <xf numFmtId="0" fontId="57" fillId="10" borderId="66" xfId="0" applyFont="1" applyFill="1" applyBorder="1" applyAlignment="1">
      <alignment horizontal="left"/>
    </xf>
    <xf numFmtId="0" fontId="57" fillId="0" borderId="66" xfId="0" applyFont="1" applyBorder="1" applyAlignment="1">
      <alignment horizontal="left"/>
    </xf>
    <xf numFmtId="0" fontId="57" fillId="22" borderId="66" xfId="0" applyFont="1" applyFill="1" applyBorder="1" applyAlignment="1">
      <alignment horizontal="left"/>
    </xf>
    <xf numFmtId="0" fontId="68" fillId="0" borderId="67" xfId="0" applyFont="1" applyBorder="1" applyAlignment="1">
      <alignment horizontal="left"/>
    </xf>
    <xf numFmtId="0" fontId="68" fillId="0" borderId="68" xfId="0" applyFont="1" applyBorder="1" applyAlignment="1">
      <alignment horizontal="center"/>
    </xf>
    <xf numFmtId="0" fontId="57" fillId="18" borderId="0" xfId="0" applyFont="1" applyFill="1" applyAlignment="1">
      <alignment horizontal="right"/>
    </xf>
    <xf numFmtId="0" fontId="67" fillId="18" borderId="0" xfId="0" applyFont="1" applyFill="1" applyAlignment="1">
      <alignment horizontal="left" textRotation="90"/>
    </xf>
    <xf numFmtId="0" fontId="67" fillId="0" borderId="69" xfId="0" applyFont="1" applyBorder="1" applyAlignment="1">
      <alignment horizontal="center"/>
    </xf>
    <xf numFmtId="0" fontId="60" fillId="18" borderId="0" xfId="0" applyFont="1" applyFill="1" applyAlignment="1">
      <alignment horizontal="center"/>
    </xf>
    <xf numFmtId="0" fontId="67" fillId="0" borderId="0" xfId="0" applyFont="1" applyAlignment="1">
      <alignment horizontal="center"/>
    </xf>
    <xf numFmtId="0" fontId="57" fillId="0" borderId="60" xfId="0" applyFont="1" applyBorder="1"/>
    <xf numFmtId="0" fontId="67" fillId="0" borderId="0" xfId="0" applyFont="1"/>
    <xf numFmtId="165" fontId="75" fillId="0" borderId="0" xfId="0" applyNumberFormat="1" applyFont="1" applyAlignment="1">
      <alignment horizontal="center"/>
    </xf>
    <xf numFmtId="0" fontId="57" fillId="0" borderId="0" xfId="0" applyFont="1" applyAlignment="1">
      <alignment horizontal="right"/>
    </xf>
    <xf numFmtId="0" fontId="76" fillId="0" borderId="0" xfId="0" applyFont="1"/>
    <xf numFmtId="165" fontId="76" fillId="0" borderId="0" xfId="0" applyNumberFormat="1" applyFont="1" applyAlignment="1">
      <alignment horizontal="center"/>
    </xf>
    <xf numFmtId="0" fontId="76" fillId="0" borderId="0" xfId="0" applyFont="1" applyAlignment="1">
      <alignment horizontal="center"/>
    </xf>
    <xf numFmtId="0" fontId="57" fillId="2" borderId="0" xfId="0" applyFont="1" applyFill="1"/>
    <xf numFmtId="0" fontId="60" fillId="24" borderId="70" xfId="0" applyFont="1" applyFill="1" applyBorder="1" applyAlignment="1">
      <alignment horizontal="center"/>
    </xf>
    <xf numFmtId="0" fontId="57" fillId="2" borderId="0" xfId="0" applyFont="1" applyFill="1" applyAlignment="1">
      <alignment vertical="center"/>
    </xf>
    <xf numFmtId="0" fontId="74" fillId="0" borderId="0" xfId="0" applyFont="1" applyAlignment="1">
      <alignment horizontal="center"/>
    </xf>
    <xf numFmtId="0" fontId="57" fillId="24" borderId="71" xfId="0" applyFont="1" applyFill="1" applyBorder="1" applyAlignment="1">
      <alignment horizontal="center" vertical="center"/>
    </xf>
    <xf numFmtId="0" fontId="77" fillId="0" borderId="0" xfId="0" applyFont="1" applyAlignment="1">
      <alignment horizontal="center"/>
    </xf>
    <xf numFmtId="0" fontId="78" fillId="13" borderId="41" xfId="0" applyFont="1" applyFill="1" applyBorder="1" applyAlignment="1">
      <alignment horizontal="center" vertical="top"/>
    </xf>
    <xf numFmtId="0" fontId="78" fillId="13" borderId="41" xfId="0" applyFont="1" applyFill="1" applyBorder="1" applyAlignment="1">
      <alignment horizontal="left" vertical="top"/>
    </xf>
    <xf numFmtId="0" fontId="79" fillId="13" borderId="41" xfId="0" applyFont="1" applyFill="1" applyBorder="1" applyAlignment="1">
      <alignment vertical="top"/>
    </xf>
    <xf numFmtId="0" fontId="57" fillId="0" borderId="0" xfId="0" applyFont="1" applyAlignment="1">
      <alignment shrinkToFit="1"/>
    </xf>
    <xf numFmtId="0" fontId="80" fillId="15" borderId="0" xfId="0" applyFont="1" applyFill="1" applyAlignment="1">
      <alignment horizontal="center"/>
    </xf>
    <xf numFmtId="0" fontId="78" fillId="13" borderId="11" xfId="0" applyFont="1" applyFill="1" applyBorder="1" applyAlignment="1">
      <alignment horizontal="center" vertical="top"/>
    </xf>
    <xf numFmtId="0" fontId="78" fillId="13" borderId="11" xfId="0" applyFont="1" applyFill="1" applyBorder="1" applyAlignment="1">
      <alignment horizontal="left" vertical="top"/>
    </xf>
    <xf numFmtId="0" fontId="79" fillId="13" borderId="11" xfId="0" applyFont="1" applyFill="1" applyBorder="1" applyAlignment="1">
      <alignment vertical="top"/>
    </xf>
    <xf numFmtId="0" fontId="62" fillId="4" borderId="72" xfId="0" applyFont="1" applyFill="1" applyBorder="1" applyAlignment="1">
      <alignment horizontal="right"/>
    </xf>
    <xf numFmtId="165" fontId="80" fillId="15" borderId="0" xfId="0" applyNumberFormat="1" applyFont="1" applyFill="1" applyAlignment="1">
      <alignment horizontal="center"/>
    </xf>
    <xf numFmtId="0" fontId="60" fillId="3" borderId="73" xfId="0" applyFont="1" applyFill="1" applyBorder="1" applyAlignment="1">
      <alignment horizontal="center"/>
    </xf>
    <xf numFmtId="0" fontId="78" fillId="13" borderId="7" xfId="0" applyFont="1" applyFill="1" applyBorder="1" applyAlignment="1">
      <alignment horizontal="center" vertical="top"/>
    </xf>
    <xf numFmtId="0" fontId="78" fillId="13" borderId="7" xfId="0" applyFont="1" applyFill="1" applyBorder="1" applyAlignment="1">
      <alignment horizontal="left" vertical="top"/>
    </xf>
    <xf numFmtId="0" fontId="79" fillId="13" borderId="7" xfId="0" applyFont="1" applyFill="1" applyBorder="1" applyAlignment="1">
      <alignment vertical="top"/>
    </xf>
    <xf numFmtId="0" fontId="62" fillId="4" borderId="74" xfId="0" applyFont="1" applyFill="1" applyBorder="1" applyAlignment="1">
      <alignment horizontal="right"/>
    </xf>
    <xf numFmtId="165" fontId="63" fillId="10" borderId="54" xfId="0" applyNumberFormat="1" applyFont="1" applyFill="1" applyBorder="1" applyAlignment="1">
      <alignment horizontal="center"/>
    </xf>
    <xf numFmtId="0" fontId="57" fillId="3" borderId="51" xfId="0" applyFont="1" applyFill="1" applyBorder="1"/>
    <xf numFmtId="0" fontId="57" fillId="0" borderId="51" xfId="0" applyFont="1" applyBorder="1"/>
    <xf numFmtId="0" fontId="57" fillId="0" borderId="52" xfId="0" applyFont="1" applyBorder="1" applyAlignment="1">
      <alignment horizontal="center"/>
    </xf>
    <xf numFmtId="0" fontId="57" fillId="3" borderId="75" xfId="0" applyFont="1" applyFill="1" applyBorder="1" applyAlignment="1">
      <alignment horizontal="center"/>
    </xf>
    <xf numFmtId="165" fontId="71" fillId="20" borderId="76" xfId="0" applyNumberFormat="1" applyFont="1" applyFill="1" applyBorder="1" applyAlignment="1">
      <alignment horizontal="left"/>
    </xf>
    <xf numFmtId="165" fontId="71" fillId="20" borderId="0" xfId="0" applyNumberFormat="1" applyFont="1" applyFill="1" applyAlignment="1">
      <alignment horizontal="left"/>
    </xf>
    <xf numFmtId="14" fontId="57" fillId="25" borderId="0" xfId="0" applyNumberFormat="1" applyFont="1" applyFill="1" applyAlignment="1">
      <alignment horizontal="center"/>
    </xf>
    <xf numFmtId="0" fontId="57" fillId="21" borderId="0" xfId="0" applyFont="1" applyFill="1" applyAlignment="1">
      <alignment horizontal="left"/>
    </xf>
    <xf numFmtId="0" fontId="57" fillId="21" borderId="0" xfId="0" applyFont="1" applyFill="1" applyAlignment="1">
      <alignment horizontal="center"/>
    </xf>
    <xf numFmtId="0" fontId="75" fillId="0" borderId="77" xfId="0" applyFont="1" applyBorder="1" applyAlignment="1">
      <alignment horizontal="center" vertical="top"/>
    </xf>
    <xf numFmtId="0" fontId="75" fillId="0" borderId="78" xfId="0" applyFont="1" applyBorder="1" applyAlignment="1">
      <alignment horizontal="center" vertical="top"/>
    </xf>
    <xf numFmtId="0" fontId="75" fillId="0" borderId="79" xfId="0" applyFont="1" applyBorder="1" applyAlignment="1">
      <alignment horizontal="center" vertical="top"/>
    </xf>
    <xf numFmtId="0" fontId="75" fillId="0" borderId="80" xfId="0" applyFont="1" applyBorder="1" applyAlignment="1">
      <alignment horizontal="center" vertical="top"/>
    </xf>
    <xf numFmtId="0" fontId="57" fillId="13" borderId="0" xfId="0" applyFont="1" applyFill="1"/>
    <xf numFmtId="0" fontId="57" fillId="13" borderId="0" xfId="0" applyFont="1" applyFill="1" applyAlignment="1">
      <alignment vertical="center"/>
    </xf>
    <xf numFmtId="0" fontId="66" fillId="2" borderId="81" xfId="0" applyFont="1" applyFill="1" applyBorder="1" applyAlignment="1">
      <alignment horizontal="center"/>
    </xf>
    <xf numFmtId="0" fontId="66" fillId="2" borderId="82" xfId="0" applyFont="1" applyFill="1" applyBorder="1" applyAlignment="1">
      <alignment horizontal="center"/>
    </xf>
    <xf numFmtId="0" fontId="81" fillId="2" borderId="83" xfId="0" applyFont="1" applyFill="1" applyBorder="1" applyAlignment="1">
      <alignment horizontal="center" vertical="top"/>
    </xf>
    <xf numFmtId="0" fontId="66" fillId="2" borderId="84" xfId="0" applyFont="1" applyFill="1" applyBorder="1" applyAlignment="1">
      <alignment horizontal="center"/>
    </xf>
    <xf numFmtId="0" fontId="66" fillId="2" borderId="85" xfId="0" applyFont="1" applyFill="1" applyBorder="1" applyAlignment="1">
      <alignment horizontal="center"/>
    </xf>
    <xf numFmtId="0" fontId="57" fillId="21" borderId="0" xfId="0" applyFont="1" applyFill="1" applyAlignment="1">
      <alignment horizontal="center" vertical="top"/>
    </xf>
    <xf numFmtId="0" fontId="66" fillId="0" borderId="86" xfId="0" applyFont="1" applyBorder="1" applyAlignment="1">
      <alignment horizontal="center" shrinkToFit="1"/>
    </xf>
    <xf numFmtId="0" fontId="66" fillId="2" borderId="86" xfId="0" applyFont="1" applyFill="1" applyBorder="1" applyAlignment="1">
      <alignment horizontal="center" shrinkToFit="1"/>
    </xf>
    <xf numFmtId="166" fontId="66" fillId="2" borderId="87" xfId="0" applyNumberFormat="1" applyFont="1" applyFill="1" applyBorder="1" applyAlignment="1">
      <alignment horizontal="center" vertical="top" shrinkToFit="1"/>
    </xf>
    <xf numFmtId="166" fontId="66" fillId="10" borderId="88" xfId="0" applyNumberFormat="1" applyFont="1" applyFill="1" applyBorder="1" applyAlignment="1">
      <alignment horizontal="center" vertical="top" shrinkToFit="1"/>
    </xf>
    <xf numFmtId="166" fontId="66" fillId="10" borderId="86" xfId="0" applyNumberFormat="1" applyFont="1" applyFill="1" applyBorder="1" applyAlignment="1">
      <alignment horizontal="center" vertical="top" shrinkToFit="1"/>
    </xf>
    <xf numFmtId="166" fontId="66" fillId="10" borderId="89" xfId="0" applyNumberFormat="1" applyFont="1" applyFill="1" applyBorder="1" applyAlignment="1">
      <alignment horizontal="center" vertical="top" shrinkToFit="1"/>
    </xf>
    <xf numFmtId="0" fontId="57" fillId="2" borderId="0" xfId="0" applyFont="1" applyFill="1" applyAlignment="1">
      <alignment vertical="top"/>
    </xf>
    <xf numFmtId="0" fontId="79" fillId="13" borderId="0" xfId="0" applyFont="1" applyFill="1"/>
    <xf numFmtId="167" fontId="79" fillId="13" borderId="0" xfId="0" applyNumberFormat="1" applyFont="1" applyFill="1"/>
    <xf numFmtId="166" fontId="66" fillId="10" borderId="0" xfId="0" applyNumberFormat="1" applyFont="1" applyFill="1" applyAlignment="1">
      <alignment horizontal="center" vertical="top" shrinkToFit="1"/>
    </xf>
    <xf numFmtId="0" fontId="66" fillId="2" borderId="0" xfId="0" applyFont="1" applyFill="1" applyAlignment="1">
      <alignment horizontal="center" shrinkToFit="1"/>
    </xf>
    <xf numFmtId="166" fontId="66" fillId="2" borderId="0" xfId="0" applyNumberFormat="1" applyFont="1" applyFill="1" applyAlignment="1">
      <alignment horizontal="center" vertical="top" shrinkToFit="1"/>
    </xf>
    <xf numFmtId="166" fontId="66" fillId="10" borderId="90" xfId="0" applyNumberFormat="1" applyFont="1" applyFill="1" applyBorder="1" applyAlignment="1">
      <alignment horizontal="center" vertical="top" shrinkToFit="1"/>
    </xf>
    <xf numFmtId="166" fontId="66" fillId="10" borderId="91" xfId="0" applyNumberFormat="1" applyFont="1" applyFill="1" applyBorder="1" applyAlignment="1">
      <alignment horizontal="center" vertical="top" shrinkToFit="1"/>
    </xf>
    <xf numFmtId="0" fontId="57" fillId="0" borderId="70" xfId="0" applyFont="1" applyBorder="1"/>
    <xf numFmtId="167" fontId="60" fillId="0" borderId="0" xfId="0" applyNumberFormat="1" applyFont="1" applyAlignment="1">
      <alignment horizontal="center" vertical="center"/>
    </xf>
    <xf numFmtId="0" fontId="57" fillId="0" borderId="0" xfId="0" applyFont="1" applyAlignment="1">
      <alignment vertical="top" wrapText="1"/>
    </xf>
    <xf numFmtId="166" fontId="77" fillId="0" borderId="0" xfId="0" applyNumberFormat="1" applyFont="1" applyAlignment="1">
      <alignment horizontal="center" vertical="top"/>
    </xf>
    <xf numFmtId="166" fontId="83" fillId="0" borderId="0" xfId="0" applyNumberFormat="1" applyFont="1" applyAlignment="1">
      <alignment horizontal="center" vertical="top" shrinkToFit="1"/>
    </xf>
    <xf numFmtId="0" fontId="77" fillId="0" borderId="0" xfId="0" applyFont="1" applyAlignment="1">
      <alignment horizontal="center" vertical="top" shrinkToFit="1"/>
    </xf>
    <xf numFmtId="166" fontId="83" fillId="22" borderId="90" xfId="0" applyNumberFormat="1" applyFont="1" applyFill="1" applyBorder="1" applyAlignment="1">
      <alignment horizontal="center" vertical="top" shrinkToFit="1"/>
    </xf>
    <xf numFmtId="166" fontId="83" fillId="22" borderId="0" xfId="0" applyNumberFormat="1" applyFont="1" applyFill="1" applyAlignment="1">
      <alignment horizontal="center" vertical="top" shrinkToFit="1"/>
    </xf>
    <xf numFmtId="166" fontId="83" fillId="22" borderId="91" xfId="0" applyNumberFormat="1" applyFont="1" applyFill="1" applyBorder="1" applyAlignment="1">
      <alignment horizontal="center" vertical="top" shrinkToFit="1"/>
    </xf>
    <xf numFmtId="0" fontId="57" fillId="0" borderId="92" xfId="0" applyFont="1" applyBorder="1"/>
    <xf numFmtId="167" fontId="60" fillId="0" borderId="51" xfId="0" applyNumberFormat="1" applyFont="1" applyBorder="1" applyAlignment="1">
      <alignment horizontal="center" vertical="center"/>
    </xf>
    <xf numFmtId="0" fontId="57" fillId="0" borderId="51" xfId="0" applyFont="1" applyBorder="1" applyAlignment="1">
      <alignment vertical="top" wrapText="1"/>
    </xf>
    <xf numFmtId="167" fontId="57" fillId="0" borderId="93" xfId="0" applyNumberFormat="1" applyFont="1" applyBorder="1" applyAlignment="1">
      <alignment horizontal="right" vertical="center"/>
    </xf>
    <xf numFmtId="0" fontId="60" fillId="0" borderId="94" xfId="0" applyFont="1" applyBorder="1" applyAlignment="1">
      <alignment horizontal="center" vertical="center"/>
    </xf>
    <xf numFmtId="0" fontId="57" fillId="0" borderId="52" xfId="0" applyFont="1" applyBorder="1" applyAlignment="1">
      <alignment vertical="top" wrapText="1"/>
    </xf>
    <xf numFmtId="166" fontId="57" fillId="0" borderId="0" xfId="0" applyNumberFormat="1" applyFont="1" applyAlignment="1">
      <alignment horizontal="center" vertical="top"/>
    </xf>
    <xf numFmtId="0" fontId="57" fillId="0" borderId="90" xfId="0" applyFont="1" applyBorder="1" applyAlignment="1">
      <alignment horizontal="center" vertical="top"/>
    </xf>
    <xf numFmtId="0" fontId="75" fillId="0" borderId="95" xfId="0" applyFont="1" applyBorder="1" applyAlignment="1">
      <alignment horizontal="center" vertical="top"/>
    </xf>
    <xf numFmtId="0" fontId="57" fillId="25" borderId="71" xfId="0" applyFont="1" applyFill="1" applyBorder="1"/>
    <xf numFmtId="0" fontId="57" fillId="26" borderId="0" xfId="0" applyFont="1" applyFill="1" applyAlignment="1">
      <alignment horizontal="center"/>
    </xf>
    <xf numFmtId="0" fontId="57" fillId="22" borderId="71" xfId="0" applyFont="1" applyFill="1" applyBorder="1" applyAlignment="1">
      <alignment horizontal="center"/>
    </xf>
    <xf numFmtId="165" fontId="84" fillId="13" borderId="96" xfId="0" applyNumberFormat="1" applyFont="1" applyFill="1" applyBorder="1" applyAlignment="1">
      <alignment horizontal="center" vertical="top"/>
    </xf>
    <xf numFmtId="0" fontId="57" fillId="13" borderId="97" xfId="0" applyFont="1" applyFill="1" applyBorder="1" applyAlignment="1">
      <alignment horizontal="left"/>
    </xf>
    <xf numFmtId="0" fontId="57" fillId="13" borderId="97" xfId="0" applyFont="1" applyFill="1" applyBorder="1" applyAlignment="1">
      <alignment horizontal="center"/>
    </xf>
    <xf numFmtId="0" fontId="57" fillId="13" borderId="98" xfId="0" applyFont="1" applyFill="1" applyBorder="1" applyAlignment="1">
      <alignment horizontal="center"/>
    </xf>
    <xf numFmtId="0" fontId="57" fillId="0" borderId="99" xfId="0" applyFont="1" applyBorder="1" applyAlignment="1">
      <alignment horizontal="center"/>
    </xf>
    <xf numFmtId="0" fontId="57" fillId="3" borderId="100" xfId="0" applyFont="1" applyFill="1" applyBorder="1" applyAlignment="1">
      <alignment horizontal="center"/>
    </xf>
    <xf numFmtId="0" fontId="77" fillId="3" borderId="100" xfId="0" applyFont="1" applyFill="1" applyBorder="1" applyAlignment="1">
      <alignment horizontal="center"/>
    </xf>
    <xf numFmtId="0" fontId="57" fillId="0" borderId="101" xfId="0" applyFont="1" applyBorder="1" applyAlignment="1">
      <alignment horizontal="center"/>
    </xf>
    <xf numFmtId="0" fontId="60" fillId="21" borderId="0" xfId="0" applyFont="1" applyFill="1" applyAlignment="1">
      <alignment horizontal="left"/>
    </xf>
    <xf numFmtId="0" fontId="77" fillId="3" borderId="0" xfId="0" applyFont="1" applyFill="1" applyAlignment="1">
      <alignment horizontal="center"/>
    </xf>
    <xf numFmtId="0" fontId="60" fillId="26" borderId="0" xfId="0" applyFont="1" applyFill="1" applyAlignment="1">
      <alignment horizontal="center"/>
    </xf>
    <xf numFmtId="165" fontId="60" fillId="14" borderId="102" xfId="0" applyNumberFormat="1" applyFont="1" applyFill="1" applyBorder="1" applyAlignment="1">
      <alignment horizontal="center"/>
    </xf>
    <xf numFmtId="166" fontId="67" fillId="22" borderId="0" xfId="0" applyNumberFormat="1" applyFont="1" applyFill="1" applyAlignment="1">
      <alignment horizontal="center"/>
    </xf>
    <xf numFmtId="167" fontId="86" fillId="3" borderId="0" xfId="0" applyNumberFormat="1" applyFont="1" applyFill="1"/>
    <xf numFmtId="0" fontId="87" fillId="3" borderId="0" xfId="0" applyFont="1" applyFill="1" applyAlignment="1">
      <alignment horizontal="center"/>
    </xf>
    <xf numFmtId="0" fontId="88" fillId="16" borderId="0" xfId="0" applyFont="1" applyFill="1" applyAlignment="1">
      <alignment horizontal="center"/>
    </xf>
    <xf numFmtId="0" fontId="57" fillId="23" borderId="0" xfId="0" applyFont="1" applyFill="1" applyAlignment="1">
      <alignment horizontal="center" vertical="top"/>
    </xf>
    <xf numFmtId="165" fontId="60" fillId="26" borderId="102" xfId="0" applyNumberFormat="1" applyFont="1" applyFill="1" applyBorder="1" applyAlignment="1">
      <alignment horizontal="center"/>
    </xf>
    <xf numFmtId="167" fontId="89" fillId="0" borderId="0" xfId="0" applyNumberFormat="1" applyFont="1"/>
    <xf numFmtId="165" fontId="69" fillId="21" borderId="0" xfId="0" applyNumberFormat="1" applyFont="1" applyFill="1" applyAlignment="1">
      <alignment horizontal="center"/>
    </xf>
    <xf numFmtId="0" fontId="88" fillId="0" borderId="0" xfId="0" applyFont="1" applyAlignment="1">
      <alignment horizontal="right"/>
    </xf>
    <xf numFmtId="0" fontId="88" fillId="0" borderId="0" xfId="0" applyFont="1" applyAlignment="1">
      <alignment horizontal="left"/>
    </xf>
    <xf numFmtId="0" fontId="57" fillId="5" borderId="0" xfId="0" applyFont="1" applyFill="1" applyAlignment="1">
      <alignment horizontal="center"/>
    </xf>
    <xf numFmtId="0" fontId="57" fillId="13" borderId="0" xfId="0" applyFont="1" applyFill="1" applyAlignment="1">
      <alignment horizontal="center"/>
    </xf>
    <xf numFmtId="0" fontId="57" fillId="4" borderId="0" xfId="0" applyFont="1" applyFill="1"/>
    <xf numFmtId="165" fontId="75" fillId="4" borderId="0" xfId="0" applyNumberFormat="1" applyFont="1" applyFill="1" applyAlignment="1">
      <alignment horizontal="center"/>
    </xf>
    <xf numFmtId="0" fontId="57" fillId="4" borderId="0" xfId="0" applyFont="1" applyFill="1" applyAlignment="1">
      <alignment horizontal="center"/>
    </xf>
    <xf numFmtId="167" fontId="57" fillId="0" borderId="0" xfId="0" applyNumberFormat="1" applyFont="1" applyAlignment="1">
      <alignment horizontal="right"/>
    </xf>
    <xf numFmtId="0" fontId="69" fillId="24" borderId="0" xfId="0" applyFont="1" applyFill="1"/>
    <xf numFmtId="0" fontId="64" fillId="16" borderId="0" xfId="0" applyFont="1" applyFill="1"/>
    <xf numFmtId="167" fontId="57" fillId="12" borderId="0" xfId="0" applyNumberFormat="1" applyFont="1" applyFill="1"/>
    <xf numFmtId="0" fontId="0" fillId="2" borderId="103" xfId="0" applyFill="1" applyBorder="1"/>
    <xf numFmtId="0" fontId="0" fillId="10" borderId="11" xfId="0" applyFill="1" applyBorder="1"/>
    <xf numFmtId="0" fontId="17" fillId="0" borderId="0" xfId="0" applyFont="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2"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Alignment="1">
      <alignment horizontal="center" vertical="top" wrapText="1"/>
    </xf>
    <xf numFmtId="165" fontId="0" fillId="10" borderId="18" xfId="0" applyNumberFormat="1" applyFill="1" applyBorder="1" applyAlignment="1">
      <alignment horizontal="center"/>
    </xf>
    <xf numFmtId="168" fontId="8" fillId="0" borderId="0" xfId="0" applyNumberFormat="1" applyFont="1" applyAlignment="1">
      <alignment horizontal="center" vertical="top" wrapText="1"/>
    </xf>
    <xf numFmtId="0" fontId="22" fillId="0" borderId="0" xfId="0" applyFont="1"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0" fillId="2" borderId="0" xfId="0" applyFont="1" applyFill="1" applyAlignment="1">
      <alignment horizontal="right" vertical="center" wrapText="1"/>
    </xf>
    <xf numFmtId="0" fontId="34" fillId="0" borderId="0" xfId="0" applyFont="1" applyAlignment="1">
      <alignment horizontal="left" vertical="top" wrapText="1" indent="1"/>
    </xf>
    <xf numFmtId="0" fontId="68" fillId="23" borderId="0" xfId="0" applyFont="1" applyFill="1" applyAlignment="1">
      <alignment horizontal="center"/>
    </xf>
    <xf numFmtId="0" fontId="60" fillId="0" borderId="0" xfId="0" applyFont="1" applyAlignment="1">
      <alignment horizontal="center"/>
    </xf>
    <xf numFmtId="0" fontId="36" fillId="0" borderId="106" xfId="1" applyFont="1" applyFill="1" applyBorder="1" applyAlignment="1" applyProtection="1">
      <alignment horizontal="right" wrapText="1" indent="1"/>
    </xf>
    <xf numFmtId="0" fontId="0" fillId="0" borderId="106" xfId="0" applyBorder="1" applyAlignment="1">
      <alignment horizontal="right" indent="1"/>
    </xf>
    <xf numFmtId="167" fontId="31" fillId="2" borderId="0" xfId="0" applyNumberFormat="1" applyFont="1" applyFill="1" applyAlignment="1">
      <alignment horizontal="left" wrapText="1" shrinkToFit="1"/>
    </xf>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92" fillId="0" borderId="0" xfId="0" applyFont="1" applyAlignment="1">
      <alignment horizontal="center"/>
    </xf>
    <xf numFmtId="168" fontId="22" fillId="0" borderId="0" xfId="0" applyNumberFormat="1" applyFont="1"/>
    <xf numFmtId="169" fontId="22" fillId="0" borderId="0" xfId="0" applyNumberFormat="1" applyFont="1" applyAlignment="1">
      <alignment horizontal="center"/>
    </xf>
    <xf numFmtId="168" fontId="22" fillId="0" borderId="0" xfId="0" applyNumberFormat="1" applyFont="1" applyAlignment="1">
      <alignment horizontal="center"/>
    </xf>
    <xf numFmtId="0" fontId="90" fillId="0" borderId="0" xfId="0" applyFont="1" applyAlignment="1">
      <alignment wrapText="1"/>
    </xf>
    <xf numFmtId="0" fontId="49" fillId="0" borderId="0" xfId="0" applyFont="1" applyAlignment="1">
      <alignment vertical="top"/>
    </xf>
    <xf numFmtId="0" fontId="20" fillId="0" borderId="0" xfId="0" applyFont="1" applyAlignment="1">
      <alignment vertical="top" wrapText="1"/>
    </xf>
    <xf numFmtId="0" fontId="79" fillId="14" borderId="109" xfId="0" applyFont="1" applyFill="1" applyBorder="1"/>
    <xf numFmtId="0" fontId="90" fillId="21" borderId="0" xfId="0" applyFont="1" applyFill="1" applyAlignment="1">
      <alignment horizontal="left" vertical="top" wrapText="1"/>
    </xf>
    <xf numFmtId="0" fontId="44" fillId="21" borderId="0" xfId="0" applyFont="1" applyFill="1" applyAlignment="1">
      <alignment vertical="top" wrapText="1"/>
    </xf>
    <xf numFmtId="0" fontId="3" fillId="0" borderId="0" xfId="0" applyFont="1" applyAlignment="1">
      <alignment vertical="center"/>
    </xf>
    <xf numFmtId="0" fontId="93" fillId="0" borderId="0" xfId="0" applyFont="1" applyAlignment="1">
      <alignment vertical="center"/>
    </xf>
    <xf numFmtId="164" fontId="2" fillId="0" borderId="0" xfId="0" applyNumberFormat="1" applyFont="1" applyAlignment="1">
      <alignment horizontal="right" vertical="top" wrapText="1" indent="1"/>
    </xf>
    <xf numFmtId="0" fontId="22" fillId="0" borderId="36" xfId="0" applyFont="1" applyBorder="1"/>
    <xf numFmtId="0" fontId="20" fillId="0" borderId="36" xfId="0" applyFont="1" applyBorder="1" applyAlignment="1">
      <alignment vertical="top" wrapText="1"/>
    </xf>
    <xf numFmtId="0" fontId="4" fillId="2" borderId="110" xfId="0" applyFont="1" applyFill="1" applyBorder="1" applyAlignment="1">
      <alignment vertical="top" wrapText="1"/>
    </xf>
    <xf numFmtId="0" fontId="57" fillId="23" borderId="0" xfId="0" applyFont="1" applyFill="1" applyAlignment="1">
      <alignment horizontal="left" vertical="top"/>
    </xf>
    <xf numFmtId="0" fontId="57" fillId="0" borderId="0" xfId="0" applyFont="1" applyAlignment="1">
      <alignment horizontal="right" vertical="top"/>
    </xf>
    <xf numFmtId="166" fontId="57" fillId="3" borderId="0" xfId="0" applyNumberFormat="1" applyFont="1" applyFill="1" applyAlignment="1">
      <alignment horizontal="center" vertical="top"/>
    </xf>
    <xf numFmtId="166" fontId="57" fillId="18" borderId="0" xfId="0" applyNumberFormat="1" applyFont="1" applyFill="1" applyAlignment="1">
      <alignment horizontal="center"/>
    </xf>
    <xf numFmtId="0" fontId="57" fillId="18" borderId="0" xfId="0" applyFont="1" applyFill="1" applyAlignment="1">
      <alignment horizontal="left" vertical="top"/>
    </xf>
    <xf numFmtId="0" fontId="57" fillId="18" borderId="0" xfId="0" applyFont="1" applyFill="1" applyAlignment="1">
      <alignment horizontal="center" vertical="top"/>
    </xf>
    <xf numFmtId="166" fontId="57" fillId="18" borderId="0" xfId="0" applyNumberFormat="1" applyFont="1" applyFill="1" applyAlignment="1">
      <alignment horizontal="center" vertical="top"/>
    </xf>
    <xf numFmtId="1" fontId="83" fillId="10" borderId="0" xfId="0" applyNumberFormat="1" applyFont="1" applyFill="1" applyAlignment="1">
      <alignment horizontal="center" vertical="center" shrinkToFit="1"/>
    </xf>
    <xf numFmtId="1" fontId="77" fillId="0" borderId="0" xfId="0" applyNumberFormat="1" applyFont="1" applyAlignment="1">
      <alignment horizontal="center" vertical="center" shrinkToFit="1"/>
    </xf>
    <xf numFmtId="1" fontId="83" fillId="10" borderId="111" xfId="0" applyNumberFormat="1" applyFont="1" applyFill="1" applyBorder="1" applyAlignment="1">
      <alignment horizontal="center" vertical="center" shrinkToFit="1"/>
    </xf>
    <xf numFmtId="1" fontId="83" fillId="10" borderId="112" xfId="0" applyNumberFormat="1" applyFont="1" applyFill="1" applyBorder="1" applyAlignment="1">
      <alignment horizontal="center" vertical="center" shrinkToFit="1"/>
    </xf>
    <xf numFmtId="1" fontId="83" fillId="21" borderId="111" xfId="0" applyNumberFormat="1" applyFont="1" applyFill="1" applyBorder="1" applyAlignment="1">
      <alignment horizontal="center" vertical="center" shrinkToFit="1"/>
    </xf>
    <xf numFmtId="166" fontId="30" fillId="0" borderId="7" xfId="0" applyNumberFormat="1" applyFont="1" applyBorder="1" applyAlignment="1">
      <alignment horizontal="right" vertical="center" wrapText="1" indent="1"/>
    </xf>
    <xf numFmtId="166" fontId="30" fillId="0" borderId="24" xfId="0" applyNumberFormat="1" applyFont="1" applyBorder="1" applyAlignment="1">
      <alignment horizontal="left" vertical="center" wrapText="1"/>
    </xf>
    <xf numFmtId="166" fontId="30" fillId="0" borderId="0" xfId="0" applyNumberFormat="1" applyFont="1" applyAlignment="1">
      <alignment horizontal="right" vertical="center" wrapText="1" indent="1"/>
    </xf>
    <xf numFmtId="166" fontId="30" fillId="0" borderId="25" xfId="0" applyNumberFormat="1" applyFont="1" applyBorder="1" applyAlignment="1">
      <alignment horizontal="left" vertical="center" wrapText="1"/>
    </xf>
    <xf numFmtId="166" fontId="30" fillId="0" borderId="41" xfId="0" applyNumberFormat="1" applyFont="1" applyBorder="1" applyAlignment="1">
      <alignment horizontal="right" vertical="center" wrapText="1" indent="1"/>
    </xf>
    <xf numFmtId="166" fontId="30" fillId="0" borderId="2" xfId="0" applyNumberFormat="1" applyFont="1" applyBorder="1" applyAlignment="1">
      <alignment horizontal="left" vertical="center" wrapText="1"/>
    </xf>
    <xf numFmtId="0" fontId="0" fillId="0" borderId="113" xfId="0" applyBorder="1"/>
    <xf numFmtId="164" fontId="9" fillId="2" borderId="114" xfId="0" applyNumberFormat="1" applyFont="1" applyFill="1" applyBorder="1" applyAlignment="1">
      <alignment horizontal="center" vertical="center"/>
    </xf>
    <xf numFmtId="0" fontId="11" fillId="5" borderId="0" xfId="0" applyFont="1" applyFill="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Border="1" applyAlignment="1">
      <alignment horizontal="left" vertical="center" indent="1"/>
    </xf>
    <xf numFmtId="166" fontId="67" fillId="16" borderId="0" xfId="0" applyNumberFormat="1" applyFont="1" applyFill="1" applyAlignment="1">
      <alignment horizontal="center"/>
    </xf>
    <xf numFmtId="0" fontId="57" fillId="22" borderId="7" xfId="0" applyFont="1" applyFill="1" applyBorder="1" applyAlignment="1">
      <alignment horizontal="center"/>
    </xf>
    <xf numFmtId="0" fontId="57" fillId="22" borderId="41" xfId="0" applyFont="1" applyFill="1" applyBorder="1" applyAlignment="1">
      <alignment horizontal="center"/>
    </xf>
    <xf numFmtId="0" fontId="95" fillId="16" borderId="0" xfId="0" applyFont="1" applyFill="1" applyAlignment="1">
      <alignment horizontal="right" vertical="center" wrapText="1"/>
    </xf>
    <xf numFmtId="0" fontId="54" fillId="2" borderId="116" xfId="0" applyFont="1" applyFill="1" applyBorder="1" applyAlignment="1">
      <alignment horizontal="center" vertical="center" wrapText="1"/>
    </xf>
    <xf numFmtId="0" fontId="95" fillId="16" borderId="117" xfId="0" applyFont="1" applyFill="1" applyBorder="1" applyAlignment="1">
      <alignment horizontal="center" vertical="center" wrapText="1"/>
    </xf>
    <xf numFmtId="0" fontId="44" fillId="3" borderId="118" xfId="0" applyFont="1" applyFill="1" applyBorder="1" applyAlignment="1">
      <alignment horizontal="left" vertical="top" wrapText="1"/>
    </xf>
    <xf numFmtId="0" fontId="44" fillId="3" borderId="119" xfId="0" applyFont="1" applyFill="1" applyBorder="1" applyAlignment="1">
      <alignment horizontal="left" vertical="top" wrapText="1"/>
    </xf>
    <xf numFmtId="0" fontId="49" fillId="23" borderId="120" xfId="0" applyFont="1" applyFill="1" applyBorder="1" applyAlignment="1">
      <alignment horizontal="left" wrapText="1" indent="1"/>
    </xf>
    <xf numFmtId="0" fontId="49" fillId="23" borderId="121" xfId="0" applyFont="1" applyFill="1" applyBorder="1" applyAlignment="1">
      <alignment horizontal="center" wrapText="1"/>
    </xf>
    <xf numFmtId="0" fontId="50" fillId="23" borderId="121" xfId="0" applyFont="1" applyFill="1" applyBorder="1" applyAlignment="1">
      <alignment horizontal="center" wrapText="1"/>
    </xf>
    <xf numFmtId="0" fontId="8" fillId="2" borderId="120" xfId="0" applyFont="1" applyFill="1" applyBorder="1" applyAlignment="1">
      <alignment horizontal="center" wrapText="1"/>
    </xf>
    <xf numFmtId="0" fontId="44" fillId="3" borderId="0" xfId="0" applyFont="1" applyFill="1" applyAlignment="1">
      <alignment vertical="top" wrapText="1"/>
    </xf>
    <xf numFmtId="0" fontId="64" fillId="16" borderId="0" xfId="0" applyFont="1" applyFill="1" applyAlignment="1">
      <alignment horizontal="center"/>
    </xf>
    <xf numFmtId="0" fontId="59" fillId="16" borderId="0" xfId="0" applyFont="1" applyFill="1" applyAlignment="1">
      <alignment horizontal="center"/>
    </xf>
    <xf numFmtId="0" fontId="64"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Alignment="1">
      <alignment horizontal="left" vertical="top" wrapText="1"/>
    </xf>
    <xf numFmtId="0" fontId="44" fillId="10" borderId="0" xfId="0" applyFont="1" applyFill="1" applyAlignment="1">
      <alignment vertical="top" wrapText="1"/>
    </xf>
    <xf numFmtId="0" fontId="101" fillId="14" borderId="0" xfId="0" applyFont="1" applyFill="1"/>
    <xf numFmtId="0" fontId="102"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03" fillId="0" borderId="0" xfId="0" applyFont="1"/>
    <xf numFmtId="0" fontId="8" fillId="14" borderId="0" xfId="0" applyFont="1" applyFill="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04" fillId="6" borderId="133" xfId="0" applyFont="1" applyFill="1" applyBorder="1" applyAlignment="1">
      <alignment horizontal="left" wrapText="1"/>
    </xf>
    <xf numFmtId="0" fontId="104" fillId="6" borderId="134" xfId="0" applyFont="1" applyFill="1" applyBorder="1" applyAlignment="1">
      <alignment horizontal="left" wrapText="1"/>
    </xf>
    <xf numFmtId="166" fontId="105" fillId="6" borderId="134" xfId="0" applyNumberFormat="1" applyFont="1" applyFill="1" applyBorder="1" applyAlignment="1">
      <alignment horizontal="right" vertical="center"/>
    </xf>
    <xf numFmtId="166" fontId="106" fillId="6" borderId="134" xfId="0" applyNumberFormat="1" applyFont="1" applyFill="1" applyBorder="1" applyAlignment="1">
      <alignment horizontal="right" vertical="center"/>
    </xf>
    <xf numFmtId="166" fontId="105" fillId="6" borderId="134" xfId="0" applyNumberFormat="1" applyFont="1" applyFill="1" applyBorder="1" applyAlignment="1">
      <alignment horizontal="center" vertical="center"/>
    </xf>
    <xf numFmtId="164" fontId="105" fillId="6" borderId="134" xfId="0" applyNumberFormat="1" applyFont="1" applyFill="1" applyBorder="1" applyAlignment="1">
      <alignment horizontal="center" vertical="center"/>
    </xf>
    <xf numFmtId="164" fontId="105" fillId="6" borderId="135" xfId="0" applyNumberFormat="1" applyFont="1" applyFill="1" applyBorder="1" applyAlignment="1">
      <alignment horizontal="center" vertical="center"/>
    </xf>
    <xf numFmtId="0" fontId="44" fillId="23" borderId="0" xfId="0" applyFont="1" applyFill="1" applyAlignment="1">
      <alignment vertical="top" wrapText="1"/>
    </xf>
    <xf numFmtId="0" fontId="4" fillId="2" borderId="0" xfId="0" applyFont="1" applyFill="1" applyAlignment="1">
      <alignment horizontal="left"/>
    </xf>
    <xf numFmtId="167" fontId="57" fillId="24" borderId="0" xfId="0" applyNumberFormat="1" applyFont="1" applyFill="1" applyAlignment="1">
      <alignment horizontal="center"/>
    </xf>
    <xf numFmtId="0" fontId="1" fillId="0" borderId="0" xfId="0" applyFont="1" applyAlignment="1">
      <alignment horizontal="center" vertical="center" wrapText="1"/>
    </xf>
    <xf numFmtId="0" fontId="44" fillId="24" borderId="0" xfId="0" applyFont="1" applyFill="1" applyAlignment="1">
      <alignment vertical="top" wrapText="1"/>
    </xf>
    <xf numFmtId="0" fontId="13" fillId="0" borderId="0" xfId="0" applyFont="1" applyAlignment="1">
      <alignment wrapText="1"/>
    </xf>
    <xf numFmtId="0" fontId="30" fillId="8" borderId="137" xfId="0" applyFont="1" applyFill="1" applyBorder="1" applyAlignment="1">
      <alignment horizontal="center" vertical="center" shrinkToFit="1"/>
    </xf>
    <xf numFmtId="0" fontId="94" fillId="8" borderId="7" xfId="0" applyFont="1" applyFill="1" applyBorder="1" applyAlignment="1">
      <alignment vertical="center" shrinkToFit="1"/>
    </xf>
    <xf numFmtId="0" fontId="30" fillId="8" borderId="22" xfId="0" applyFont="1" applyFill="1" applyBorder="1" applyAlignment="1">
      <alignment horizontal="center" vertical="center" shrinkToFit="1"/>
    </xf>
    <xf numFmtId="0" fontId="94" fillId="8" borderId="0" xfId="0" applyFont="1" applyFill="1" applyAlignment="1">
      <alignment vertical="center" shrinkToFit="1"/>
    </xf>
    <xf numFmtId="0" fontId="30" fillId="8" borderId="138" xfId="0" applyFont="1" applyFill="1" applyBorder="1" applyAlignment="1">
      <alignment horizontal="center" vertical="center" shrinkToFit="1"/>
    </xf>
    <xf numFmtId="0" fontId="94" fillId="8" borderId="41" xfId="0" applyFont="1" applyFill="1" applyBorder="1" applyAlignment="1">
      <alignment vertical="center" shrinkToFit="1"/>
    </xf>
    <xf numFmtId="0" fontId="49" fillId="23" borderId="0" xfId="0" applyFont="1" applyFill="1" applyAlignment="1">
      <alignment wrapText="1"/>
    </xf>
    <xf numFmtId="0" fontId="54"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Alignment="1">
      <alignment vertical="center" wrapText="1"/>
    </xf>
    <xf numFmtId="0" fontId="13" fillId="0" borderId="0" xfId="0" applyFont="1"/>
    <xf numFmtId="0" fontId="47" fillId="2" borderId="0" xfId="0" applyFont="1" applyFill="1" applyAlignment="1">
      <alignment horizontal="left" indent="2"/>
    </xf>
    <xf numFmtId="0" fontId="13"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7" fillId="21" borderId="0" xfId="0" applyFont="1" applyFill="1" applyAlignment="1">
      <alignment horizontal="left" vertical="top" wrapText="1"/>
    </xf>
    <xf numFmtId="0" fontId="22" fillId="0" borderId="140" xfId="0" applyFont="1" applyBorder="1"/>
    <xf numFmtId="0" fontId="22" fillId="10" borderId="141" xfId="0" applyFont="1" applyFill="1" applyBorder="1"/>
    <xf numFmtId="0" fontId="0" fillId="27" borderId="0" xfId="0" applyFill="1"/>
    <xf numFmtId="0" fontId="0" fillId="28" borderId="0" xfId="0" applyFill="1"/>
    <xf numFmtId="0" fontId="107" fillId="8" borderId="0" xfId="1" applyFont="1" applyFill="1" applyBorder="1" applyAlignment="1" applyProtection="1">
      <alignment horizontal="left" indent="1"/>
    </xf>
    <xf numFmtId="0" fontId="47" fillId="0" borderId="0" xfId="0" applyFont="1" applyAlignment="1">
      <alignment horizontal="right"/>
    </xf>
    <xf numFmtId="0" fontId="47" fillId="0" borderId="0" xfId="0" applyFont="1" applyAlignment="1">
      <alignment horizontal="right" vertical="top" indent="10"/>
    </xf>
    <xf numFmtId="0" fontId="44" fillId="25" borderId="0" xfId="0" applyFont="1" applyFill="1" applyAlignment="1">
      <alignment vertical="top" wrapText="1"/>
    </xf>
    <xf numFmtId="0" fontId="57" fillId="30" borderId="0" xfId="0" applyFont="1" applyFill="1"/>
    <xf numFmtId="0" fontId="60" fillId="30" borderId="142" xfId="0" applyFont="1" applyFill="1" applyBorder="1"/>
    <xf numFmtId="0" fontId="60" fillId="30" borderId="143" xfId="0" applyFont="1" applyFill="1" applyBorder="1"/>
    <xf numFmtId="0" fontId="44" fillId="16" borderId="0" xfId="0" applyFont="1" applyFill="1" applyAlignment="1">
      <alignment vertical="top" wrapText="1"/>
    </xf>
    <xf numFmtId="0" fontId="2" fillId="0" borderId="0" xfId="0" applyFont="1" applyAlignment="1">
      <alignment horizontal="left" vertical="top" wrapText="1"/>
    </xf>
    <xf numFmtId="0" fontId="110" fillId="8" borderId="0" xfId="0" applyFont="1" applyFill="1" applyAlignment="1">
      <alignment horizontal="left" vertical="top" indent="4"/>
    </xf>
    <xf numFmtId="0" fontId="21" fillId="29" borderId="0" xfId="0" applyFont="1" applyFill="1" applyAlignment="1">
      <alignment horizontal="left" vertical="top" indent="2"/>
    </xf>
    <xf numFmtId="0" fontId="111" fillId="18" borderId="144" xfId="0" applyFont="1" applyFill="1" applyBorder="1" applyAlignment="1">
      <alignment horizontal="right"/>
    </xf>
    <xf numFmtId="167" fontId="111" fillId="18" borderId="145" xfId="0" applyNumberFormat="1" applyFont="1" applyFill="1" applyBorder="1" applyAlignment="1">
      <alignment horizontal="left" vertical="top" indent="1"/>
    </xf>
    <xf numFmtId="167" fontId="111" fillId="18" borderId="146" xfId="0" applyNumberFormat="1" applyFont="1" applyFill="1" applyBorder="1" applyAlignment="1">
      <alignment horizontal="right" vertical="top"/>
    </xf>
    <xf numFmtId="167" fontId="111" fillId="18" borderId="147" xfId="0" applyNumberFormat="1" applyFont="1" applyFill="1" applyBorder="1" applyAlignment="1">
      <alignment horizontal="center" vertical="top"/>
    </xf>
    <xf numFmtId="0" fontId="40" fillId="2" borderId="148" xfId="0" applyFont="1" applyFill="1" applyBorder="1" applyAlignment="1">
      <alignment horizontal="center"/>
    </xf>
    <xf numFmtId="0" fontId="40" fillId="2" borderId="149" xfId="0" applyFont="1" applyFill="1" applyBorder="1" applyAlignment="1">
      <alignment horizontal="center"/>
    </xf>
    <xf numFmtId="0" fontId="112" fillId="0" borderId="0" xfId="0" applyFont="1" applyAlignment="1">
      <alignment vertical="center" wrapText="1"/>
    </xf>
    <xf numFmtId="0" fontId="113" fillId="0" borderId="0" xfId="0" applyFont="1" applyAlignment="1">
      <alignment wrapText="1"/>
    </xf>
    <xf numFmtId="0" fontId="114" fillId="0" borderId="0" xfId="0" applyFont="1" applyAlignment="1">
      <alignment wrapText="1"/>
    </xf>
    <xf numFmtId="0" fontId="114" fillId="0" borderId="0" xfId="0" applyFont="1" applyAlignment="1">
      <alignment vertical="center"/>
    </xf>
    <xf numFmtId="0" fontId="33" fillId="31" borderId="0" xfId="0" applyFont="1" applyFill="1" applyAlignment="1">
      <alignment horizontal="left" vertical="center" wrapText="1" indent="2"/>
    </xf>
    <xf numFmtId="0" fontId="11" fillId="5" borderId="16" xfId="0" applyFont="1" applyFill="1" applyBorder="1" applyAlignment="1">
      <alignment vertical="center"/>
    </xf>
    <xf numFmtId="0" fontId="4" fillId="7" borderId="26" xfId="0" applyFont="1" applyFill="1" applyBorder="1" applyAlignment="1">
      <alignment horizontal="left" vertical="top" wrapText="1"/>
    </xf>
    <xf numFmtId="0" fontId="4" fillId="7" borderId="27" xfId="0" applyFont="1" applyFill="1" applyBorder="1" applyAlignment="1">
      <alignment horizontal="left" vertical="top" wrapText="1"/>
    </xf>
    <xf numFmtId="0" fontId="4" fillId="7" borderId="28" xfId="0" applyFont="1" applyFill="1" applyBorder="1" applyAlignment="1">
      <alignment horizontal="left" vertical="top" wrapText="1"/>
    </xf>
    <xf numFmtId="0" fontId="4" fillId="7" borderId="5" xfId="0"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6" xfId="0" applyFont="1" applyFill="1" applyBorder="1" applyAlignment="1">
      <alignment horizontal="left" vertical="top" wrapText="1"/>
    </xf>
    <xf numFmtId="0" fontId="115" fillId="32" borderId="0" xfId="0" applyFont="1" applyFill="1" applyAlignment="1">
      <alignment horizontal="right" vertical="top" wrapText="1"/>
    </xf>
    <xf numFmtId="0" fontId="115" fillId="32" borderId="0" xfId="0" applyFont="1" applyFill="1" applyAlignment="1">
      <alignment horizontal="left" vertical="top" wrapText="1"/>
    </xf>
    <xf numFmtId="0" fontId="116" fillId="0" borderId="0" xfId="0" applyFont="1" applyAlignment="1">
      <alignment horizontal="left" vertical="top" wrapText="1"/>
    </xf>
    <xf numFmtId="0" fontId="116" fillId="0" borderId="0" xfId="0" quotePrefix="1" applyFont="1" applyAlignment="1">
      <alignment horizontal="left" vertical="top" wrapText="1"/>
    </xf>
    <xf numFmtId="0" fontId="1" fillId="0" borderId="0" xfId="0" applyFont="1"/>
    <xf numFmtId="0" fontId="117" fillId="0" borderId="106" xfId="0" applyFont="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Alignment="1">
      <alignment horizontal="left" wrapText="1"/>
    </xf>
    <xf numFmtId="0" fontId="47" fillId="2" borderId="0" xfId="0" applyFont="1" applyFill="1" applyAlignment="1">
      <alignment horizontal="left" vertical="top" wrapText="1"/>
    </xf>
    <xf numFmtId="0" fontId="5" fillId="10" borderId="0" xfId="1" applyFill="1" applyAlignment="1" applyProtection="1">
      <alignment vertical="top" wrapText="1"/>
    </xf>
    <xf numFmtId="0" fontId="1" fillId="29" borderId="0" xfId="0" applyFont="1" applyFill="1" applyAlignment="1">
      <alignment horizontal="left" vertical="top" wrapText="1"/>
    </xf>
    <xf numFmtId="0" fontId="1" fillId="0" borderId="0" xfId="0" applyFont="1" applyAlignment="1">
      <alignment horizontal="left" vertical="top"/>
    </xf>
    <xf numFmtId="4" fontId="1" fillId="0" borderId="0" xfId="0" applyNumberFormat="1" applyFont="1" applyAlignment="1">
      <alignment horizontal="left" vertical="top" wrapText="1"/>
    </xf>
    <xf numFmtId="0" fontId="1" fillId="14" borderId="0" xfId="0" applyFont="1" applyFill="1" applyAlignment="1">
      <alignment horizontal="left" vertical="top" wrapText="1"/>
    </xf>
    <xf numFmtId="0" fontId="1" fillId="3" borderId="0" xfId="0" applyFont="1" applyFill="1" applyAlignment="1">
      <alignment horizontal="center" vertical="top" wrapText="1"/>
    </xf>
    <xf numFmtId="0" fontId="1" fillId="8" borderId="0" xfId="0" applyFont="1" applyFill="1" applyAlignment="1">
      <alignment horizontal="left" vertical="top" wrapText="1"/>
    </xf>
    <xf numFmtId="0" fontId="1" fillId="13" borderId="11" xfId="0" applyFont="1" applyFill="1" applyBorder="1" applyAlignment="1">
      <alignment horizontal="left" vertical="top" wrapText="1"/>
    </xf>
    <xf numFmtId="0" fontId="1" fillId="0" borderId="0" xfId="0" applyFont="1" applyAlignment="1">
      <alignment horizontal="right" vertical="top" wrapText="1"/>
    </xf>
    <xf numFmtId="0" fontId="1" fillId="0" borderId="0" xfId="0" applyFont="1" applyAlignment="1">
      <alignment horizontal="center" vertical="top" wrapText="1"/>
    </xf>
    <xf numFmtId="166" fontId="4" fillId="9" borderId="8" xfId="0" applyNumberFormat="1" applyFont="1" applyFill="1" applyBorder="1" applyAlignment="1">
      <alignment horizontal="left" vertical="top" wrapText="1"/>
    </xf>
    <xf numFmtId="166" fontId="4" fillId="9" borderId="4" xfId="0" applyNumberFormat="1" applyFont="1" applyFill="1" applyBorder="1" applyAlignment="1">
      <alignment horizontal="left" vertical="top" wrapText="1"/>
    </xf>
    <xf numFmtId="166" fontId="4" fillId="8" borderId="6" xfId="0" applyNumberFormat="1" applyFont="1" applyFill="1" applyBorder="1" applyAlignment="1">
      <alignment horizontal="center" vertical="top"/>
    </xf>
    <xf numFmtId="164" fontId="4" fillId="7" borderId="8" xfId="0" applyNumberFormat="1" applyFont="1" applyFill="1" applyBorder="1" applyAlignment="1">
      <alignment horizontal="center" vertical="top" wrapText="1"/>
    </xf>
    <xf numFmtId="164" fontId="4" fillId="7" borderId="4" xfId="0" applyNumberFormat="1" applyFont="1" applyFill="1" applyBorder="1" applyAlignment="1">
      <alignment horizontal="center" vertical="top" wrapText="1"/>
    </xf>
    <xf numFmtId="164" fontId="4" fillId="7" borderId="5" xfId="0" applyNumberFormat="1" applyFont="1" applyFill="1" applyBorder="1" applyAlignment="1">
      <alignment horizontal="center" vertical="top" wrapText="1"/>
    </xf>
    <xf numFmtId="0" fontId="1" fillId="24" borderId="0" xfId="0" applyFont="1" applyFill="1" applyAlignment="1">
      <alignment horizontal="left" vertical="top" wrapText="1"/>
    </xf>
    <xf numFmtId="0" fontId="1" fillId="10" borderId="0" xfId="0" applyFont="1" applyFill="1" applyAlignment="1">
      <alignment horizontal="left" vertical="top" wrapText="1"/>
    </xf>
    <xf numFmtId="0" fontId="1" fillId="25" borderId="0" xfId="0" applyFont="1" applyFill="1" applyAlignment="1">
      <alignment horizontal="left" vertical="top" wrapText="1"/>
    </xf>
    <xf numFmtId="0" fontId="1" fillId="16" borderId="0" xfId="0" applyFont="1" applyFill="1" applyAlignment="1">
      <alignment horizontal="left" vertical="top" wrapText="1"/>
    </xf>
    <xf numFmtId="0" fontId="1" fillId="13" borderId="0" xfId="0" applyFont="1" applyFill="1" applyAlignment="1">
      <alignment wrapText="1"/>
    </xf>
    <xf numFmtId="0" fontId="1" fillId="0" borderId="0" xfId="0" applyFont="1" applyAlignment="1">
      <alignment vertical="center"/>
    </xf>
    <xf numFmtId="0" fontId="1" fillId="10" borderId="0" xfId="0" applyFont="1" applyFill="1" applyAlignment="1">
      <alignment horizontal="left" indent="2"/>
    </xf>
    <xf numFmtId="0" fontId="1" fillId="2" borderId="0" xfId="0" applyFont="1" applyFill="1" applyAlignment="1">
      <alignment horizontal="left" indent="2"/>
    </xf>
    <xf numFmtId="0" fontId="5" fillId="10" borderId="0" xfId="1" applyFill="1" applyBorder="1" applyAlignment="1" applyProtection="1">
      <alignment horizontal="left" vertical="top" wrapText="1" indent="2"/>
    </xf>
    <xf numFmtId="0" fontId="1" fillId="0" borderId="0" xfId="0" applyFont="1" applyAlignment="1">
      <alignment vertical="top" wrapText="1"/>
    </xf>
    <xf numFmtId="0" fontId="1" fillId="10" borderId="0" xfId="0" applyFont="1" applyFill="1" applyAlignment="1">
      <alignment vertical="top"/>
    </xf>
    <xf numFmtId="0" fontId="1" fillId="10" borderId="0" xfId="0" applyFont="1" applyFill="1" applyAlignment="1">
      <alignment wrapText="1"/>
    </xf>
    <xf numFmtId="0" fontId="1" fillId="8" borderId="0" xfId="0" applyFont="1" applyFill="1" applyAlignment="1">
      <alignment horizontal="left" wrapText="1" indent="2"/>
    </xf>
    <xf numFmtId="0" fontId="1" fillId="8" borderId="0" xfId="0" applyFont="1" applyFill="1" applyAlignment="1">
      <alignment horizontal="left" vertical="center" wrapText="1" indent="2"/>
    </xf>
    <xf numFmtId="0" fontId="1" fillId="0" borderId="0" xfId="0" applyFont="1" applyAlignment="1">
      <alignment horizontal="right" wrapText="1" indent="1"/>
    </xf>
    <xf numFmtId="166" fontId="7" fillId="2" borderId="16" xfId="0" applyNumberFormat="1" applyFont="1" applyFill="1" applyBorder="1" applyAlignment="1">
      <alignment horizontal="right"/>
    </xf>
    <xf numFmtId="0" fontId="7" fillId="2" borderId="0" xfId="0" applyFont="1" applyFill="1"/>
    <xf numFmtId="164" fontId="7" fillId="2" borderId="7" xfId="0" applyNumberFormat="1" applyFont="1" applyFill="1" applyBorder="1" applyAlignment="1">
      <alignment horizontal="center" vertical="center"/>
    </xf>
    <xf numFmtId="164" fontId="7" fillId="2" borderId="12" xfId="0" applyNumberFormat="1" applyFont="1" applyFill="1" applyBorder="1" applyAlignment="1">
      <alignment horizontal="center" vertical="center"/>
    </xf>
    <xf numFmtId="0" fontId="14" fillId="2" borderId="32" xfId="0" applyFont="1" applyFill="1" applyBorder="1" applyAlignment="1">
      <alignment wrapText="1"/>
    </xf>
    <xf numFmtId="0" fontId="14" fillId="2" borderId="33" xfId="0" applyFont="1" applyFill="1" applyBorder="1" applyAlignment="1">
      <alignment wrapText="1"/>
    </xf>
    <xf numFmtId="0" fontId="2" fillId="2" borderId="30" xfId="0" applyFont="1" applyFill="1" applyBorder="1" applyAlignment="1">
      <alignment horizontal="left" vertical="center"/>
    </xf>
    <xf numFmtId="164" fontId="7" fillId="0" borderId="11" xfId="0" applyNumberFormat="1" applyFont="1" applyBorder="1" applyAlignment="1">
      <alignment horizontal="center" vertical="center"/>
    </xf>
    <xf numFmtId="164" fontId="7" fillId="0" borderId="12" xfId="0" applyNumberFormat="1" applyFont="1" applyBorder="1" applyAlignment="1">
      <alignment horizontal="center" vertical="center"/>
    </xf>
    <xf numFmtId="0" fontId="14" fillId="2" borderId="0" xfId="0" applyFont="1" applyFill="1" applyAlignment="1">
      <alignment wrapText="1"/>
    </xf>
    <xf numFmtId="0" fontId="14" fillId="2" borderId="14" xfId="0" applyFont="1" applyFill="1" applyBorder="1" applyAlignment="1">
      <alignment wrapText="1"/>
    </xf>
    <xf numFmtId="10" fontId="7" fillId="2" borderId="0" xfId="0" applyNumberFormat="1" applyFont="1" applyFill="1"/>
    <xf numFmtId="0" fontId="7" fillId="2" borderId="107" xfId="0" applyFont="1" applyFill="1" applyBorder="1"/>
    <xf numFmtId="164" fontId="7" fillId="2" borderId="11" xfId="0" applyNumberFormat="1" applyFont="1" applyFill="1" applyBorder="1" applyAlignment="1">
      <alignment horizontal="center" vertical="center"/>
    </xf>
    <xf numFmtId="164" fontId="7" fillId="2" borderId="150" xfId="0" applyNumberFormat="1" applyFont="1" applyFill="1" applyBorder="1" applyAlignment="1">
      <alignment horizontal="center" vertical="center"/>
    </xf>
    <xf numFmtId="164" fontId="7" fillId="0" borderId="151" xfId="0" applyNumberFormat="1" applyFont="1" applyBorder="1" applyAlignment="1">
      <alignment horizontal="center" vertical="center"/>
    </xf>
    <xf numFmtId="0" fontId="4" fillId="0" borderId="0" xfId="0" applyFont="1" applyAlignment="1">
      <alignment horizontal="left" wrapText="1" indent="1"/>
    </xf>
    <xf numFmtId="0" fontId="4" fillId="0" borderId="0" xfId="0" applyFont="1" applyAlignment="1">
      <alignment horizontal="left" wrapText="1"/>
    </xf>
    <xf numFmtId="0" fontId="4" fillId="0" borderId="25" xfId="0" applyFont="1" applyBorder="1" applyAlignment="1">
      <alignment horizontal="left" wrapText="1"/>
    </xf>
    <xf numFmtId="0" fontId="1" fillId="2" borderId="36" xfId="0" applyFont="1" applyFill="1" applyBorder="1" applyAlignment="1">
      <alignment horizontal="center" vertical="top" wrapText="1"/>
    </xf>
    <xf numFmtId="166" fontId="4" fillId="0" borderId="0" xfId="0" applyNumberFormat="1" applyFont="1" applyAlignment="1">
      <alignment horizontal="right" vertical="center" wrapText="1" indent="1"/>
    </xf>
    <xf numFmtId="166" fontId="4" fillId="0" borderId="0" xfId="0" applyNumberFormat="1" applyFont="1" applyAlignment="1">
      <alignment horizontal="left" vertical="center" wrapText="1"/>
    </xf>
    <xf numFmtId="166" fontId="4" fillId="0" borderId="41" xfId="0" applyNumberFormat="1" applyFont="1" applyBorder="1" applyAlignment="1">
      <alignment horizontal="right" vertical="center" wrapText="1" indent="1"/>
    </xf>
    <xf numFmtId="166" fontId="4" fillId="0" borderId="41" xfId="0" applyNumberFormat="1" applyFont="1" applyBorder="1" applyAlignment="1">
      <alignment horizontal="left" vertical="center" wrapText="1"/>
    </xf>
    <xf numFmtId="166" fontId="4" fillId="0" borderId="7" xfId="0" applyNumberFormat="1" applyFont="1" applyBorder="1" applyAlignment="1">
      <alignment horizontal="right" vertical="center" wrapText="1" indent="1"/>
    </xf>
    <xf numFmtId="166" fontId="4" fillId="0" borderId="7" xfId="0" applyNumberFormat="1" applyFont="1" applyBorder="1" applyAlignment="1">
      <alignment horizontal="left" vertical="center" wrapText="1"/>
    </xf>
    <xf numFmtId="166" fontId="7" fillId="2" borderId="0" xfId="0" applyNumberFormat="1" applyFont="1" applyFill="1" applyAlignment="1">
      <alignment horizontal="right"/>
    </xf>
    <xf numFmtId="0" fontId="7" fillId="2" borderId="0" xfId="0" quotePrefix="1" applyFont="1" applyFill="1" applyAlignment="1">
      <alignment horizontal="left"/>
    </xf>
    <xf numFmtId="0" fontId="9" fillId="5" borderId="9" xfId="0" applyFont="1" applyFill="1" applyBorder="1" applyAlignment="1">
      <alignment horizontal="center"/>
    </xf>
    <xf numFmtId="166" fontId="9" fillId="5" borderId="9" xfId="0" applyNumberFormat="1" applyFont="1" applyFill="1" applyBorder="1" applyAlignment="1">
      <alignment horizontal="center" vertical="top"/>
    </xf>
    <xf numFmtId="164" fontId="7" fillId="9" borderId="0" xfId="0" applyNumberFormat="1" applyFont="1" applyFill="1" applyAlignment="1">
      <alignment horizontal="center"/>
    </xf>
    <xf numFmtId="164" fontId="7" fillId="9" borderId="21" xfId="0" applyNumberFormat="1" applyFont="1" applyFill="1" applyBorder="1" applyAlignment="1">
      <alignment horizontal="center"/>
    </xf>
    <xf numFmtId="164" fontId="7" fillId="7" borderId="11" xfId="0" applyNumberFormat="1" applyFont="1" applyFill="1" applyBorder="1" applyAlignment="1">
      <alignment horizontal="center" vertical="top"/>
    </xf>
    <xf numFmtId="164" fontId="7" fillId="7" borderId="20" xfId="0" applyNumberFormat="1" applyFont="1" applyFill="1" applyBorder="1" applyAlignment="1">
      <alignment horizontal="center" vertical="top"/>
    </xf>
    <xf numFmtId="166" fontId="7" fillId="10" borderId="18" xfId="0" applyNumberFormat="1" applyFont="1" applyFill="1" applyBorder="1" applyAlignment="1">
      <alignment horizontal="center" vertical="top"/>
    </xf>
    <xf numFmtId="166" fontId="7" fillId="10" borderId="19" xfId="0" applyNumberFormat="1" applyFont="1" applyFill="1" applyBorder="1" applyAlignment="1">
      <alignment horizontal="center" vertical="top"/>
    </xf>
    <xf numFmtId="164" fontId="7" fillId="9" borderId="11" xfId="0" applyNumberFormat="1" applyFont="1" applyFill="1" applyBorder="1" applyAlignment="1">
      <alignment horizontal="center" vertical="top"/>
    </xf>
    <xf numFmtId="164" fontId="7" fillId="9" borderId="20" xfId="0" applyNumberFormat="1" applyFont="1" applyFill="1" applyBorder="1" applyAlignment="1">
      <alignment horizontal="center" vertical="top"/>
    </xf>
    <xf numFmtId="0" fontId="7" fillId="8" borderId="0" xfId="0" applyFont="1" applyFill="1"/>
    <xf numFmtId="0" fontId="14" fillId="5" borderId="23" xfId="0" applyFont="1" applyFill="1" applyBorder="1" applyAlignment="1">
      <alignment horizontal="center" vertical="center" wrapText="1"/>
    </xf>
    <xf numFmtId="165" fontId="10" fillId="11" borderId="0" xfId="0" applyNumberFormat="1" applyFont="1" applyFill="1" applyAlignment="1">
      <alignment horizontal="center" vertical="center"/>
    </xf>
    <xf numFmtId="0" fontId="11" fillId="5" borderId="136" xfId="0" applyFont="1" applyFill="1" applyBorder="1" applyAlignment="1">
      <alignment horizontal="center" wrapText="1"/>
    </xf>
    <xf numFmtId="0" fontId="14" fillId="5" borderId="25" xfId="0" applyFont="1" applyFill="1" applyBorder="1" applyAlignment="1">
      <alignment horizontal="center" vertical="center" wrapText="1"/>
    </xf>
    <xf numFmtId="0" fontId="10" fillId="5" borderId="25" xfId="0" applyFont="1" applyFill="1" applyBorder="1" applyAlignment="1">
      <alignment horizontal="center"/>
    </xf>
    <xf numFmtId="166" fontId="11" fillId="5" borderId="29" xfId="0" applyNumberFormat="1" applyFont="1" applyFill="1" applyBorder="1" applyAlignment="1">
      <alignment horizontal="center" vertical="center"/>
    </xf>
    <xf numFmtId="0" fontId="4" fillId="7" borderId="4" xfId="0" applyFont="1" applyFill="1" applyBorder="1" applyAlignment="1">
      <alignment horizontal="left" vertical="top" wrapText="1"/>
    </xf>
    <xf numFmtId="164" fontId="4" fillId="7" borderId="5" xfId="0" applyNumberFormat="1" applyFont="1" applyFill="1" applyBorder="1" applyAlignment="1">
      <alignment horizontal="left" vertical="top" wrapText="1"/>
    </xf>
    <xf numFmtId="166" fontId="4" fillId="7" borderId="5" xfId="0" applyNumberFormat="1" applyFont="1" applyFill="1" applyBorder="1" applyAlignment="1">
      <alignment horizontal="left" vertical="top" wrapText="1"/>
    </xf>
    <xf numFmtId="166" fontId="4" fillId="7" borderId="4" xfId="0" applyNumberFormat="1" applyFont="1" applyFill="1" applyBorder="1" applyAlignment="1">
      <alignment horizontal="left" vertical="top" wrapText="1"/>
    </xf>
    <xf numFmtId="0" fontId="1" fillId="0" borderId="0" xfId="0" applyFont="1" applyAlignment="1">
      <alignment horizontal="right" vertical="center"/>
    </xf>
    <xf numFmtId="0" fontId="1" fillId="0" borderId="0" xfId="0" applyFont="1" applyAlignment="1">
      <alignment horizontal="right" indent="10"/>
    </xf>
    <xf numFmtId="0" fontId="4" fillId="0" borderId="0" xfId="0" applyFont="1" applyAlignment="1">
      <alignment horizontal="left" vertical="top" wrapText="1"/>
    </xf>
    <xf numFmtId="0" fontId="1" fillId="24" borderId="0" xfId="0" applyFont="1" applyFill="1" applyAlignment="1">
      <alignment wrapText="1"/>
    </xf>
    <xf numFmtId="0" fontId="90" fillId="8" borderId="0" xfId="0" applyFont="1" applyFill="1" applyAlignment="1">
      <alignment horizontal="left" vertical="top" wrapText="1" indent="4"/>
    </xf>
    <xf numFmtId="0" fontId="22" fillId="8" borderId="0" xfId="0" applyFont="1" applyFill="1" applyAlignment="1">
      <alignment horizontal="left" vertical="top" wrapText="1" indent="4"/>
    </xf>
    <xf numFmtId="0" fontId="96" fillId="0" borderId="0" xfId="0" applyFont="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27" fillId="0" borderId="0" xfId="0" applyFont="1" applyAlignment="1">
      <alignment vertical="center" wrapText="1"/>
    </xf>
    <xf numFmtId="0" fontId="1" fillId="0" borderId="0" xfId="0" applyFont="1"/>
    <xf numFmtId="0" fontId="8" fillId="2" borderId="153" xfId="0" applyFont="1" applyFill="1" applyBorder="1" applyAlignment="1">
      <alignment horizontal="center"/>
    </xf>
    <xf numFmtId="0" fontId="8" fillId="2" borderId="0" xfId="0" applyFont="1" applyFill="1" applyAlignment="1">
      <alignment horizontal="center"/>
    </xf>
    <xf numFmtId="0" fontId="109" fillId="5" borderId="0" xfId="0" applyFont="1" applyFill="1" applyAlignment="1">
      <alignment horizontal="left"/>
    </xf>
    <xf numFmtId="0" fontId="14" fillId="0" borderId="0" xfId="0" applyFont="1"/>
    <xf numFmtId="0" fontId="14" fillId="0" borderId="14" xfId="0" applyFont="1" applyBorder="1"/>
    <xf numFmtId="0" fontId="69" fillId="22" borderId="0" xfId="0" applyFont="1" applyFill="1" applyAlignment="1">
      <alignment horizontal="center" wrapText="1"/>
    </xf>
    <xf numFmtId="0" fontId="69" fillId="22" borderId="41" xfId="0" applyFont="1" applyFill="1" applyBorder="1" applyAlignment="1">
      <alignment horizontal="center" wrapText="1"/>
    </xf>
    <xf numFmtId="0" fontId="67" fillId="3" borderId="0" xfId="0" applyFont="1" applyFill="1" applyAlignment="1">
      <alignment horizontal="center" textRotation="90" wrapText="1"/>
    </xf>
    <xf numFmtId="0" fontId="35" fillId="0" borderId="21" xfId="0" applyFont="1" applyBorder="1" applyAlignment="1">
      <alignment horizontal="center" vertical="top" wrapText="1"/>
    </xf>
    <xf numFmtId="0" fontId="0" fillId="0" borderId="21" xfId="0" applyBorder="1" applyAlignment="1">
      <alignment horizontal="center" vertical="top" wrapText="1"/>
    </xf>
    <xf numFmtId="0" fontId="41" fillId="8" borderId="113" xfId="0" applyFont="1" applyFill="1" applyBorder="1" applyAlignment="1">
      <alignment horizontal="center" vertical="center" wrapText="1"/>
    </xf>
    <xf numFmtId="0" fontId="42" fillId="8" borderId="113" xfId="0" applyFont="1" applyFill="1" applyBorder="1" applyAlignment="1">
      <alignment horizontal="center" vertical="center" wrapText="1"/>
    </xf>
    <xf numFmtId="0" fontId="67" fillId="0" borderId="56" xfId="0" applyFont="1" applyBorder="1" applyAlignment="1">
      <alignment horizontal="center" wrapText="1"/>
    </xf>
    <xf numFmtId="0" fontId="32" fillId="0" borderId="24" xfId="0" applyFont="1" applyBorder="1" applyAlignment="1">
      <alignment horizontal="center" vertical="top" wrapText="1"/>
    </xf>
    <xf numFmtId="0" fontId="0" fillId="0" borderId="25" xfId="0" applyBorder="1" applyAlignment="1">
      <alignment vertical="top" wrapText="1"/>
    </xf>
    <xf numFmtId="0" fontId="32" fillId="0" borderId="0" xfId="0" applyFont="1" applyAlignment="1">
      <alignment horizontal="center" wrapText="1"/>
    </xf>
    <xf numFmtId="0" fontId="0" fillId="0" borderId="0" xfId="0" applyAlignment="1">
      <alignment wrapText="1"/>
    </xf>
    <xf numFmtId="0" fontId="0" fillId="0" borderId="41" xfId="0" applyBorder="1" applyAlignment="1">
      <alignment wrapText="1"/>
    </xf>
    <xf numFmtId="0" fontId="31" fillId="0" borderId="0" xfId="0" applyFont="1" applyAlignment="1">
      <alignment horizontal="center"/>
    </xf>
    <xf numFmtId="0" fontId="14" fillId="0" borderId="0" xfId="0" applyFont="1" applyAlignment="1">
      <alignment horizontal="center"/>
    </xf>
    <xf numFmtId="0" fontId="14" fillId="0" borderId="25" xfId="0" applyFont="1" applyBorder="1" applyAlignment="1">
      <alignment horizontal="center"/>
    </xf>
    <xf numFmtId="0" fontId="97" fillId="5" borderId="113" xfId="0" applyFont="1" applyFill="1" applyBorder="1" applyAlignment="1">
      <alignment horizontal="center" wrapText="1"/>
    </xf>
    <xf numFmtId="0" fontId="97" fillId="5" borderId="0" xfId="0" applyFont="1" applyFill="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34" fillId="10" borderId="129" xfId="0" applyFont="1" applyFill="1" applyBorder="1" applyAlignment="1">
      <alignment horizontal="left" vertical="top" wrapText="1"/>
    </xf>
    <xf numFmtId="0" fontId="34"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34" fillId="10" borderId="9" xfId="0" applyFont="1" applyFill="1" applyBorder="1" applyAlignment="1">
      <alignment horizontal="left" wrapText="1"/>
    </xf>
    <xf numFmtId="0" fontId="34" fillId="10" borderId="0" xfId="0" applyFont="1" applyFill="1" applyAlignment="1">
      <alignment horizontal="left" wrapText="1"/>
    </xf>
    <xf numFmtId="0" fontId="0" fillId="0" borderId="10" xfId="0" applyBorder="1" applyAlignment="1">
      <alignment wrapText="1"/>
    </xf>
    <xf numFmtId="0" fontId="6" fillId="23" borderId="158" xfId="0" applyFont="1" applyFill="1" applyBorder="1" applyAlignment="1">
      <alignment horizontal="center"/>
    </xf>
    <xf numFmtId="0" fontId="0" fillId="23" borderId="159" xfId="0" applyFill="1" applyBorder="1" applyAlignment="1">
      <alignment horizontal="center"/>
    </xf>
    <xf numFmtId="0" fontId="14" fillId="4" borderId="0" xfId="0" applyFont="1" applyFill="1" applyAlignment="1">
      <alignment wrapText="1"/>
    </xf>
    <xf numFmtId="0" fontId="14"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7" fillId="2" borderId="16" xfId="0" applyFont="1" applyFill="1" applyBorder="1" applyAlignment="1">
      <alignment horizontal="center" vertical="top"/>
    </xf>
    <xf numFmtId="0" fontId="7" fillId="2" borderId="0" xfId="0" applyFont="1" applyFill="1" applyAlignment="1">
      <alignment horizontal="center" vertical="top"/>
    </xf>
    <xf numFmtId="0" fontId="7" fillId="2" borderId="10" xfId="0" applyFont="1" applyFill="1" applyBorder="1" applyAlignment="1">
      <alignment horizontal="center" vertical="top"/>
    </xf>
    <xf numFmtId="0" fontId="68" fillId="0" borderId="0" xfId="0" applyFont="1" applyAlignment="1">
      <alignment horizontal="center" textRotation="90"/>
    </xf>
    <xf numFmtId="0" fontId="57"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Alignment="1">
      <alignment horizontal="center" wrapText="1"/>
    </xf>
    <xf numFmtId="0" fontId="0" fillId="0" borderId="0" xfId="0" applyAlignment="1">
      <alignment horizontal="center" wrapText="1"/>
    </xf>
    <xf numFmtId="0" fontId="68"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56" fillId="15" borderId="0" xfId="0" applyFont="1" applyFill="1" applyAlignment="1">
      <alignment horizontal="center" wrapText="1"/>
    </xf>
    <xf numFmtId="0" fontId="57" fillId="0" borderId="0" xfId="0" applyFont="1"/>
    <xf numFmtId="0" fontId="56" fillId="15" borderId="0" xfId="0" applyFont="1" applyFill="1" applyAlignment="1">
      <alignment horizontal="center" vertical="center" wrapText="1"/>
    </xf>
    <xf numFmtId="0" fontId="57" fillId="0" borderId="0" xfId="0" applyFont="1" applyAlignment="1">
      <alignment vertical="center"/>
    </xf>
    <xf numFmtId="0" fontId="9" fillId="5" borderId="168" xfId="0" applyFont="1" applyFill="1" applyBorder="1" applyAlignment="1">
      <alignment horizontal="center"/>
    </xf>
    <xf numFmtId="0" fontId="14" fillId="5" borderId="41" xfId="0" applyFont="1" applyFill="1" applyBorder="1"/>
    <xf numFmtId="0" fontId="14" fillId="5" borderId="2" xfId="0" applyFont="1" applyFill="1" applyBorder="1"/>
    <xf numFmtId="0" fontId="36" fillId="0" borderId="106" xfId="1" applyFont="1" applyFill="1" applyBorder="1" applyAlignment="1" applyProtection="1">
      <alignment horizontal="right" wrapText="1" indent="1"/>
    </xf>
    <xf numFmtId="0" fontId="0" fillId="0" borderId="106" xfId="0"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1" fillId="5" borderId="129" xfId="0" applyFont="1" applyFill="1" applyBorder="1" applyAlignment="1">
      <alignment horizontal="center"/>
    </xf>
    <xf numFmtId="0" fontId="0" fillId="0" borderId="156" xfId="0" applyBorder="1" applyAlignment="1">
      <alignment horizontal="center"/>
    </xf>
    <xf numFmtId="0" fontId="1" fillId="0" borderId="0" xfId="0" applyFont="1" applyAlignment="1">
      <alignment horizontal="right" vertical="center" wrapText="1" indent="9"/>
    </xf>
    <xf numFmtId="0" fontId="0" fillId="0" borderId="0" xfId="0" applyAlignment="1">
      <alignment horizontal="right" vertical="center" indent="9"/>
    </xf>
    <xf numFmtId="0" fontId="3" fillId="0" borderId="0" xfId="0" applyFont="1" applyAlignment="1">
      <alignment vertical="center"/>
    </xf>
    <xf numFmtId="0" fontId="0" fillId="0" borderId="0" xfId="0" applyAlignment="1">
      <alignment vertical="center"/>
    </xf>
    <xf numFmtId="0" fontId="14" fillId="4" borderId="0" xfId="0" applyFont="1" applyFill="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99" fillId="2" borderId="169" xfId="0" applyFont="1" applyFill="1" applyBorder="1" applyAlignment="1">
      <alignment horizontal="center" wrapText="1"/>
    </xf>
    <xf numFmtId="0" fontId="100" fillId="2" borderId="113" xfId="0" applyFont="1" applyFill="1" applyBorder="1" applyAlignment="1">
      <alignment wrapText="1"/>
    </xf>
    <xf numFmtId="0" fontId="100" fillId="2" borderId="22" xfId="0" applyFont="1" applyFill="1" applyBorder="1" applyAlignment="1">
      <alignment wrapText="1"/>
    </xf>
    <xf numFmtId="0" fontId="100" fillId="2" borderId="0" xfId="0" applyFont="1" applyFill="1" applyAlignment="1">
      <alignment wrapText="1"/>
    </xf>
    <xf numFmtId="0" fontId="100" fillId="2" borderId="138" xfId="0" applyFont="1" applyFill="1" applyBorder="1" applyAlignment="1">
      <alignment wrapText="1"/>
    </xf>
    <xf numFmtId="0" fontId="100" fillId="2" borderId="41" xfId="0" applyFont="1" applyFill="1" applyBorder="1" applyAlignment="1">
      <alignment wrapText="1"/>
    </xf>
    <xf numFmtId="0" fontId="32" fillId="0" borderId="7" xfId="0" applyFont="1" applyBorder="1" applyAlignment="1">
      <alignment horizontal="center" vertical="top" wrapText="1"/>
    </xf>
    <xf numFmtId="0" fontId="27" fillId="0" borderId="0" xfId="0" applyFont="1" applyAlignment="1">
      <alignment horizontal="left" vertical="top" wrapText="1"/>
    </xf>
    <xf numFmtId="0" fontId="27" fillId="0" borderId="0" xfId="0" applyFont="1" applyAlignment="1">
      <alignment vertical="top" wrapText="1"/>
    </xf>
    <xf numFmtId="0" fontId="1" fillId="0" borderId="0" xfId="0" applyFont="1" applyAlignment="1">
      <alignment wrapText="1"/>
    </xf>
    <xf numFmtId="0" fontId="20" fillId="0" borderId="0" xfId="0" applyFont="1" applyAlignment="1">
      <alignment horizontal="right" wrapText="1" indent="1"/>
    </xf>
    <xf numFmtId="0" fontId="4" fillId="0" borderId="0" xfId="0" applyFont="1" applyAlignment="1">
      <alignment horizontal="right" wrapText="1" indent="1"/>
    </xf>
    <xf numFmtId="0" fontId="4" fillId="0" borderId="41" xfId="0" applyFont="1" applyBorder="1" applyAlignment="1">
      <alignment horizontal="right" wrapText="1" indent="1"/>
    </xf>
    <xf numFmtId="0" fontId="20" fillId="0" borderId="0" xfId="0" applyFont="1" applyAlignment="1">
      <alignment horizontal="left" wrapText="1"/>
    </xf>
    <xf numFmtId="0" fontId="4" fillId="0" borderId="0" xfId="0" applyFont="1" applyAlignment="1">
      <alignment horizontal="left" wrapText="1"/>
    </xf>
    <xf numFmtId="0" fontId="4" fillId="0" borderId="41" xfId="0" applyFont="1" applyBorder="1" applyAlignment="1">
      <alignment horizontal="left" wrapText="1"/>
    </xf>
    <xf numFmtId="0" fontId="4" fillId="0" borderId="21" xfId="0" applyFont="1" applyBorder="1" applyAlignment="1">
      <alignment horizontal="center" vertical="top" wrapText="1"/>
    </xf>
    <xf numFmtId="0" fontId="4" fillId="0" borderId="1" xfId="0" applyFont="1" applyBorder="1" applyAlignment="1">
      <alignment horizontal="center" vertical="top" wrapText="1"/>
    </xf>
    <xf numFmtId="0" fontId="20" fillId="0" borderId="25" xfId="0" applyFont="1" applyBorder="1" applyAlignment="1">
      <alignment horizontal="left" wrapText="1"/>
    </xf>
    <xf numFmtId="0" fontId="4" fillId="0" borderId="2" xfId="0" applyFont="1" applyBorder="1" applyAlignment="1">
      <alignment horizontal="left" wrapText="1"/>
    </xf>
    <xf numFmtId="0" fontId="8" fillId="0" borderId="41" xfId="0" applyFont="1" applyBorder="1" applyAlignment="1">
      <alignment horizontal="center" vertical="top"/>
    </xf>
    <xf numFmtId="0" fontId="8" fillId="0" borderId="2" xfId="0" applyFont="1" applyBorder="1" applyAlignment="1">
      <alignment horizontal="center" vertical="top"/>
    </xf>
    <xf numFmtId="166" fontId="9" fillId="5" borderId="37" xfId="0" applyNumberFormat="1" applyFont="1" applyFill="1" applyBorder="1" applyAlignment="1">
      <alignment horizontal="right" vertical="center"/>
    </xf>
    <xf numFmtId="166" fontId="15" fillId="5" borderId="24" xfId="0" applyNumberFormat="1" applyFont="1" applyFill="1" applyBorder="1" applyAlignment="1">
      <alignment horizontal="right" vertical="center"/>
    </xf>
    <xf numFmtId="0" fontId="91" fillId="0" borderId="170" xfId="0" applyFont="1" applyBorder="1" applyAlignment="1">
      <alignment horizontal="center" textRotation="90"/>
    </xf>
    <xf numFmtId="0" fontId="91" fillId="0" borderId="0" xfId="0" applyFont="1" applyAlignment="1">
      <alignment horizontal="center" textRotation="90"/>
    </xf>
    <xf numFmtId="166" fontId="15" fillId="5" borderId="164" xfId="0" applyNumberFormat="1" applyFont="1" applyFill="1" applyBorder="1" applyAlignment="1">
      <alignment horizontal="center" vertical="center" wrapText="1"/>
    </xf>
    <xf numFmtId="0" fontId="14" fillId="5" borderId="164" xfId="0" applyFont="1" applyFill="1" applyBorder="1" applyAlignment="1">
      <alignment horizontal="center" vertical="center" wrapText="1"/>
    </xf>
    <xf numFmtId="0" fontId="14"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7" fillId="10" borderId="18" xfId="0" applyNumberFormat="1" applyFont="1" applyFill="1" applyBorder="1" applyAlignment="1">
      <alignment horizontal="center" vertical="top"/>
    </xf>
    <xf numFmtId="0" fontId="4" fillId="8" borderId="0" xfId="0" applyFont="1" applyFill="1" applyAlignment="1">
      <alignment vertical="top" wrapText="1"/>
    </xf>
    <xf numFmtId="0" fontId="0" fillId="0" borderId="0" xfId="0"/>
    <xf numFmtId="0" fontId="23" fillId="8" borderId="0" xfId="1" applyFont="1" applyFill="1" applyBorder="1" applyAlignment="1" applyProtection="1">
      <alignment horizontal="right" wrapText="1" indent="15"/>
    </xf>
    <xf numFmtId="0" fontId="1" fillId="8" borderId="0" xfId="0" applyFont="1" applyFill="1" applyAlignment="1">
      <alignment horizontal="right" wrapText="1" indent="15"/>
    </xf>
    <xf numFmtId="0" fontId="7" fillId="0" borderId="0" xfId="0" applyFont="1" applyAlignment="1">
      <alignment horizontal="right" wrapText="1"/>
    </xf>
    <xf numFmtId="0" fontId="108"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4" fillId="10" borderId="156" xfId="0" applyFont="1" applyFill="1" applyBorder="1" applyAlignment="1">
      <alignment horizontal="left" vertical="top" wrapText="1"/>
    </xf>
    <xf numFmtId="0" fontId="0" fillId="0" borderId="156" xfId="0" applyBorder="1"/>
    <xf numFmtId="0" fontId="0" fillId="0" borderId="181" xfId="0" applyBorder="1"/>
    <xf numFmtId="0" fontId="0" fillId="0" borderId="25" xfId="0" applyBorder="1"/>
    <xf numFmtId="166" fontId="9" fillId="5" borderId="20" xfId="0" applyNumberFormat="1" applyFont="1" applyFill="1" applyBorder="1" applyAlignment="1">
      <alignment horizontal="center" vertical="center" wrapText="1"/>
    </xf>
    <xf numFmtId="166" fontId="15" fillId="5" borderId="173" xfId="0" applyNumberFormat="1" applyFont="1" applyFill="1" applyBorder="1" applyAlignment="1">
      <alignment horizontal="center" vertical="center" wrapText="1"/>
    </xf>
    <xf numFmtId="0" fontId="12" fillId="11" borderId="41" xfId="0" applyFont="1" applyFill="1" applyBorder="1" applyAlignment="1">
      <alignment horizontal="left" vertical="center" wrapText="1"/>
    </xf>
    <xf numFmtId="0" fontId="12" fillId="11" borderId="41" xfId="0" applyFont="1" applyFill="1" applyBorder="1" applyAlignment="1">
      <alignment vertical="center" wrapText="1"/>
    </xf>
    <xf numFmtId="0" fontId="12" fillId="0" borderId="41" xfId="0" applyFont="1" applyBorder="1" applyAlignment="1">
      <alignment vertical="center"/>
    </xf>
    <xf numFmtId="0" fontId="12" fillId="0" borderId="2" xfId="0" applyFont="1" applyBorder="1" applyAlignment="1">
      <alignment vertical="center"/>
    </xf>
    <xf numFmtId="0" fontId="19" fillId="11" borderId="0" xfId="0" applyFont="1" applyFill="1" applyAlignment="1">
      <alignment horizontal="left"/>
    </xf>
    <xf numFmtId="0" fontId="33" fillId="11" borderId="0" xfId="0" applyFont="1" applyFill="1"/>
    <xf numFmtId="0" fontId="98" fillId="4" borderId="0" xfId="0" applyFont="1" applyFill="1" applyAlignment="1">
      <alignment horizontal="center" vertical="center" wrapText="1"/>
    </xf>
    <xf numFmtId="0" fontId="97" fillId="4" borderId="0" xfId="0" applyFont="1" applyFill="1" applyAlignment="1">
      <alignment horizontal="center" vertical="center" wrapText="1"/>
    </xf>
    <xf numFmtId="0" fontId="97" fillId="4" borderId="10" xfId="0" applyFont="1" applyFill="1" applyBorder="1" applyAlignment="1">
      <alignment wrapText="1"/>
    </xf>
    <xf numFmtId="0" fontId="21" fillId="5" borderId="9" xfId="0" applyFont="1" applyFill="1" applyBorder="1" applyAlignment="1">
      <alignment horizontal="center"/>
    </xf>
    <xf numFmtId="0" fontId="14" fillId="5" borderId="0" xfId="0" applyFont="1" applyFill="1" applyAlignment="1">
      <alignment horizontal="center"/>
    </xf>
    <xf numFmtId="0" fontId="14"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14" fillId="5" borderId="41" xfId="0" applyFont="1" applyFill="1" applyBorder="1" applyAlignment="1">
      <alignment horizontal="center"/>
    </xf>
    <xf numFmtId="0" fontId="14" fillId="5" borderId="2" xfId="0" applyFont="1" applyFill="1" applyBorder="1" applyAlignment="1">
      <alignment horizontal="center"/>
    </xf>
    <xf numFmtId="0" fontId="6" fillId="2" borderId="0" xfId="0" applyFont="1" applyFill="1" applyAlignment="1">
      <alignment horizontal="left" indent="1"/>
    </xf>
    <xf numFmtId="0" fontId="1" fillId="2" borderId="0" xfId="0" applyFont="1" applyFill="1" applyAlignment="1">
      <alignment horizontal="left" indent="1"/>
    </xf>
    <xf numFmtId="0" fontId="1" fillId="0" borderId="0" xfId="0" applyFont="1" applyAlignment="1">
      <alignment horizontal="left" indent="1"/>
    </xf>
    <xf numFmtId="166" fontId="7" fillId="10" borderId="171" xfId="0" applyNumberFormat="1" applyFont="1" applyFill="1" applyBorder="1" applyAlignment="1">
      <alignment horizontal="center" vertical="top"/>
    </xf>
    <xf numFmtId="0" fontId="43" fillId="11" borderId="0" xfId="0" applyFont="1" applyFill="1" applyAlignment="1">
      <alignment horizontal="center" vertical="center" wrapText="1"/>
    </xf>
    <xf numFmtId="0" fontId="12" fillId="11" borderId="0" xfId="0" applyFont="1" applyFill="1" applyAlignment="1">
      <alignment horizontal="center" vertical="center" wrapText="1"/>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0"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14" fillId="5" borderId="175" xfId="0" applyFont="1" applyFill="1" applyBorder="1" applyAlignment="1">
      <alignment horizontal="right" wrapText="1" indent="1"/>
    </xf>
    <xf numFmtId="166" fontId="11" fillId="5" borderId="37" xfId="0" applyNumberFormat="1" applyFont="1" applyFill="1" applyBorder="1" applyAlignment="1">
      <alignment horizontal="left" wrapText="1" indent="1"/>
    </xf>
    <xf numFmtId="0" fontId="1" fillId="5" borderId="7" xfId="0" applyFont="1" applyFill="1" applyBorder="1" applyAlignment="1">
      <alignment horizontal="left" wrapText="1" indent="1"/>
    </xf>
    <xf numFmtId="0" fontId="1" fillId="5" borderId="24" xfId="0" applyFont="1" applyFill="1" applyBorder="1" applyAlignment="1">
      <alignment horizontal="left" wrapText="1" indent="1"/>
    </xf>
    <xf numFmtId="166" fontId="11" fillId="5" borderId="21" xfId="0" applyNumberFormat="1" applyFont="1" applyFill="1" applyBorder="1" applyAlignment="1">
      <alignment horizontal="left" wrapText="1" indent="1"/>
    </xf>
    <xf numFmtId="0" fontId="1" fillId="5" borderId="0" xfId="0" applyFont="1" applyFill="1" applyAlignment="1">
      <alignment horizontal="left" wrapText="1" indent="1"/>
    </xf>
    <xf numFmtId="0" fontId="1"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14" fillId="5" borderId="164" xfId="0" applyFont="1" applyFill="1" applyBorder="1" applyAlignment="1">
      <alignment vertical="top" wrapText="1"/>
    </xf>
    <xf numFmtId="0" fontId="0" fillId="5" borderId="164" xfId="0" applyFill="1" applyBorder="1" applyAlignment="1">
      <alignment vertical="top" wrapText="1"/>
    </xf>
    <xf numFmtId="0" fontId="7" fillId="0" borderId="156" xfId="0" applyFont="1" applyBorder="1" applyAlignment="1">
      <alignment vertical="top" wrapText="1"/>
    </xf>
    <xf numFmtId="0" fontId="0" fillId="0" borderId="176" xfId="0" applyBorder="1" applyAlignment="1">
      <alignment wrapText="1"/>
    </xf>
    <xf numFmtId="0" fontId="0" fillId="0" borderId="107" xfId="0" applyBorder="1" applyAlignment="1">
      <alignment wrapText="1"/>
    </xf>
    <xf numFmtId="0" fontId="0" fillId="0" borderId="155" xfId="0" applyBorder="1" applyAlignment="1">
      <alignment wrapText="1"/>
    </xf>
    <xf numFmtId="0" fontId="85" fillId="25" borderId="0" xfId="0" applyFont="1" applyFill="1" applyAlignment="1">
      <alignment horizontal="center" wrapText="1"/>
    </xf>
    <xf numFmtId="0" fontId="69" fillId="25" borderId="0" xfId="0" applyFont="1" applyFill="1" applyAlignment="1">
      <alignment horizontal="center" wrapText="1"/>
    </xf>
    <xf numFmtId="0" fontId="82" fillId="22" borderId="0" xfId="0" applyFont="1" applyFill="1" applyAlignment="1">
      <alignment horizontal="center" wrapText="1"/>
    </xf>
    <xf numFmtId="0" fontId="82" fillId="22" borderId="106" xfId="0" applyFont="1" applyFill="1" applyBorder="1" applyAlignment="1">
      <alignment horizontal="center" wrapText="1"/>
    </xf>
    <xf numFmtId="0" fontId="82" fillId="22" borderId="70" xfId="0" applyFont="1" applyFill="1" applyBorder="1" applyAlignment="1">
      <alignment horizontal="center" wrapText="1"/>
    </xf>
    <xf numFmtId="0" fontId="82" fillId="22" borderId="92" xfId="0" applyFont="1" applyFill="1" applyBorder="1" applyAlignment="1">
      <alignment horizontal="center" wrapText="1"/>
    </xf>
    <xf numFmtId="0" fontId="82"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14" fillId="5" borderId="21" xfId="0" applyNumberFormat="1"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80" xfId="0" applyFont="1" applyFill="1" applyBorder="1" applyAlignment="1">
      <alignment horizontal="center" vertical="center" wrapText="1"/>
    </xf>
    <xf numFmtId="0" fontId="12" fillId="11" borderId="0" xfId="0" applyFont="1" applyFill="1" applyAlignment="1">
      <alignment horizontal="left" vertical="top" wrapText="1"/>
    </xf>
    <xf numFmtId="0" fontId="12" fillId="0" borderId="0" xfId="0" applyFont="1" applyAlignment="1">
      <alignment vertical="top" wrapText="1"/>
    </xf>
    <xf numFmtId="0" fontId="12" fillId="0" borderId="25" xfId="0" applyFont="1" applyBorder="1" applyAlignment="1">
      <alignment vertical="top" wrapText="1"/>
    </xf>
    <xf numFmtId="0" fontId="27" fillId="0" borderId="0" xfId="0" applyFont="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49" fillId="0" borderId="0" xfId="0" applyFont="1" applyAlignment="1">
      <alignment vertical="center" wrapText="1"/>
    </xf>
    <xf numFmtId="0" fontId="93" fillId="0" borderId="0" xfId="0" applyFont="1" applyAlignment="1">
      <alignment wrapText="1"/>
    </xf>
    <xf numFmtId="0" fontId="20" fillId="0" borderId="0" xfId="0" applyFont="1" applyAlignment="1">
      <alignment horizontal="left" vertical="center" wrapText="1" indent="1"/>
    </xf>
    <xf numFmtId="0" fontId="0" fillId="0" borderId="0" xfId="0" applyAlignment="1">
      <alignment horizontal="left" indent="1"/>
    </xf>
    <xf numFmtId="0" fontId="1" fillId="0" borderId="0" xfId="0" quotePrefix="1" applyFont="1" applyAlignment="1">
      <alignment vertical="top" wrapText="1"/>
    </xf>
    <xf numFmtId="0" fontId="1" fillId="0" borderId="0" xfId="0" applyFont="1" applyAlignment="1">
      <alignment vertical="top" wrapText="1"/>
    </xf>
  </cellXfs>
  <cellStyles count="2">
    <cellStyle name="Hyperlink" xfId="1" builtinId="8"/>
    <cellStyle name="Normal" xfId="0" builtinId="0"/>
  </cellStyles>
  <dxfs count="897">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5"/>
        </patternFill>
      </fill>
    </dxf>
    <dxf>
      <fill>
        <patternFill>
          <bgColor indexed="46"/>
        </patternFill>
      </fill>
    </dxf>
    <dxf>
      <fill>
        <patternFill>
          <bgColor indexed="41"/>
        </patternFill>
      </fill>
    </dxf>
    <dxf>
      <font>
        <condense val="0"/>
        <extend val="0"/>
        <color indexed="55"/>
      </font>
    </dxf>
    <dxf>
      <font>
        <strike/>
        <condense val="0"/>
        <extend val="0"/>
        <color indexed="10"/>
      </font>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13"/>
      </font>
      <fill>
        <patternFill>
          <bgColor indexed="63"/>
        </patternFill>
      </fill>
    </dxf>
    <dxf>
      <font>
        <condense val="0"/>
        <extend val="0"/>
        <color indexed="9"/>
      </font>
      <fill>
        <patternFill>
          <bgColor indexed="55"/>
        </patternFill>
      </fill>
    </dxf>
    <dxf>
      <font>
        <b val="0"/>
        <i val="0"/>
        <condense val="0"/>
        <extend val="0"/>
        <color indexed="22"/>
      </font>
      <border>
        <top/>
      </border>
    </dxf>
    <dxf>
      <font>
        <strike/>
        <condense val="0"/>
        <extend val="0"/>
        <color indexed="10"/>
      </font>
      <border>
        <top/>
      </border>
    </dxf>
    <dxf>
      <font>
        <strike/>
        <condense val="0"/>
        <extend val="0"/>
      </font>
      <fill>
        <patternFill>
          <bgColor indexed="10"/>
        </patternFill>
      </fill>
    </dxf>
    <dxf>
      <font>
        <b val="0"/>
        <i val="0"/>
        <condense val="0"/>
        <extend val="0"/>
        <color indexed="63"/>
      </font>
    </dxf>
    <dxf>
      <font>
        <condense val="0"/>
        <extend val="0"/>
        <color indexed="13"/>
      </font>
      <fill>
        <patternFill>
          <bgColor indexed="63"/>
        </patternFill>
      </fill>
    </dxf>
    <dxf>
      <border>
        <top/>
      </border>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8"/>
        </patternFill>
      </fill>
    </dxf>
    <dxf>
      <fill>
        <patternFill>
          <bgColor indexed="10"/>
        </patternFill>
      </fill>
    </dxf>
    <dxf>
      <fill>
        <patternFill>
          <bgColor indexed="47"/>
        </patternFill>
      </fill>
    </dxf>
    <dxf>
      <fill>
        <patternFill>
          <bgColor indexed="14"/>
        </patternFill>
      </fill>
    </dxf>
    <dxf>
      <font>
        <condense val="0"/>
        <extend val="0"/>
        <color indexed="22"/>
      </font>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46"/>
        </patternFill>
      </fill>
    </dxf>
    <dxf>
      <fill>
        <patternFill>
          <bgColor indexed="11"/>
        </patternFill>
      </fill>
    </dxf>
    <dxf>
      <fill>
        <patternFill>
          <bgColor indexed="47"/>
        </patternFill>
      </fill>
    </dxf>
    <dxf>
      <font>
        <condense val="0"/>
        <extend val="0"/>
        <color indexed="33"/>
      </font>
      <fill>
        <patternFill>
          <bgColor indexed="63"/>
        </patternFill>
      </fill>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val="0"/>
        <i val="0"/>
        <condense val="0"/>
        <extend val="0"/>
        <color indexed="23"/>
      </font>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b val="0"/>
        <i val="0"/>
        <condense val="0"/>
        <extend val="0"/>
        <color indexed="63"/>
      </font>
    </dxf>
    <dxf>
      <font>
        <condense val="0"/>
        <extend val="0"/>
        <color indexed="55"/>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ont>
        <condense val="0"/>
        <extend val="0"/>
        <color indexed="22"/>
      </font>
    </dxf>
    <dxf>
      <font>
        <condense val="0"/>
        <extend val="0"/>
        <color indexed="63"/>
      </font>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13"/>
      </font>
      <fill>
        <patternFill>
          <bgColor indexed="63"/>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ill>
        <patternFill>
          <bgColor indexed="22"/>
        </patternFill>
      </fill>
    </dxf>
    <dxf>
      <font>
        <condense val="0"/>
        <extend val="0"/>
        <color indexed="55"/>
      </font>
    </dxf>
    <dxf>
      <font>
        <condense val="0"/>
        <extend val="0"/>
        <color indexed="22"/>
      </font>
      <fill>
        <patternFill>
          <bgColor indexed="22"/>
        </patternFill>
      </fill>
    </dxf>
    <dxf>
      <fill>
        <patternFill>
          <bgColor indexed="22"/>
        </patternFill>
      </fill>
    </dxf>
    <dxf>
      <font>
        <condense val="0"/>
        <extend val="0"/>
        <color indexed="55"/>
      </font>
    </dxf>
    <dxf>
      <font>
        <strike/>
        <condense val="0"/>
        <extend val="0"/>
        <color indexed="10"/>
      </font>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9"/>
      </font>
      <fill>
        <patternFill>
          <bgColor indexed="10"/>
        </patternFill>
      </fill>
      <border>
        <top style="thin">
          <color indexed="22"/>
        </top>
        <bottom style="thin">
          <color indexed="22"/>
        </bottom>
      </border>
    </dxf>
    <dxf>
      <font>
        <condense val="0"/>
        <extend val="0"/>
        <color indexed="22"/>
      </font>
      <fill>
        <patternFill>
          <bgColor indexed="22"/>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13"/>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396240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758831" y="0"/>
          <a:ext cx="13700937" cy="1929100"/>
        </a:xfrm>
        <a:prstGeom prst="rect">
          <a:avLst/>
        </a:prstGeom>
        <a:solidFill>
          <a:srgbClr val="FFCC99"/>
        </a:solidFill>
        <a:ln w="9525">
          <a:noFill/>
          <a:miter lim="800000"/>
          <a:headEnd/>
          <a:tailEnd/>
        </a:ln>
      </xdr:spPr>
      <xdr:txBody>
        <a:bodyPr/>
        <a:lstStyle/>
        <a:p>
          <a:endParaRPr lang="en-US"/>
        </a:p>
      </xdr:txBody>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187"/>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170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170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368790" cy="21526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170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171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171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171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368790" cy="21526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171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171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1710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171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368790" cy="21526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171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171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160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160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368790" cy="21526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160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160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160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160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368790" cy="21526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160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160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1608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160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368790" cy="21526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160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160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150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150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368790" cy="21526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150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150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150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150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368790" cy="21526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150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150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1505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150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368790" cy="21526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150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150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140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140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368790" cy="21526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140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140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140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140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368790" cy="21526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140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140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1403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140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368790" cy="21526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140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140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130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130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368790" cy="21526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130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130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130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130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368790" cy="21526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130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130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130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130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368790" cy="21526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130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130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109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109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368790" cy="21526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109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109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109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109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368790" cy="21526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109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109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109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109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368790" cy="21526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109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109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59062" y="3116220"/>
          <a:ext cx="1771650" cy="949153"/>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20412" y="2711278"/>
          <a:ext cx="4600575" cy="301711"/>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20412" y="4484473"/>
          <a:ext cx="4724400" cy="29373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20412" y="5565689"/>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3604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469"/>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470"/>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471"/>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099"/>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632"/>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63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368790" cy="21526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63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63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636"/>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637"/>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368790" cy="21526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638"/>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639"/>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79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79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368790" cy="21526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79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79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79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79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368790" cy="21526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79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79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79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79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368790" cy="21526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79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79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201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201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368790" cy="21526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201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201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201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201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368790" cy="21526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201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201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201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201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368790" cy="21526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201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201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119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119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368790" cy="21526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119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119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119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119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368790" cy="21526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119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119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1198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119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368790" cy="21526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119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119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191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191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368790" cy="21526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191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191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191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191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368790" cy="21526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191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191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191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191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368790" cy="21526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191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191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181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181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368790" cy="21526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181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181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181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181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368790" cy="21526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181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181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181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181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368790" cy="21526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181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181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5" activePane="bottomRight" state="frozenSplit"/>
      <selection pane="topRight" activeCell="C5" sqref="C5"/>
      <selection pane="bottomLeft" activeCell="C5" sqref="C5"/>
      <selection pane="bottomRight" activeCell="D6" sqref="D6"/>
    </sheetView>
  </sheetViews>
  <sheetFormatPr defaultColWidth="9.109375" defaultRowHeight="13.2"/>
  <cols>
    <col min="1" max="1" width="50" style="82" customWidth="1"/>
    <col min="2" max="2" width="4.33203125" style="82" customWidth="1"/>
    <col min="3" max="3" width="35.88671875" style="82" customWidth="1"/>
    <col min="4" max="4" width="41" style="82" customWidth="1"/>
    <col min="5" max="5" width="40.5546875" style="82" customWidth="1"/>
    <col min="6" max="6" width="7.6640625" style="85" customWidth="1"/>
    <col min="7" max="7" width="7.5546875" style="85" customWidth="1"/>
    <col min="8" max="8" width="19.109375" style="82" customWidth="1"/>
    <col min="9" max="9" width="10" style="82" customWidth="1"/>
    <col min="10" max="10" width="12" customWidth="1"/>
    <col min="11" max="17" width="2" style="82" customWidth="1"/>
    <col min="18" max="18" width="5" style="82" customWidth="1"/>
    <col min="19" max="19" width="2.33203125" style="82" customWidth="1"/>
    <col min="20" max="22" width="2.33203125" customWidth="1"/>
    <col min="23" max="23" width="20.6640625" customWidth="1"/>
    <col min="24" max="25" width="7.5546875" customWidth="1"/>
    <col min="26" max="28" width="10.33203125" customWidth="1"/>
    <col min="29" max="29" width="10.33203125" style="82" customWidth="1"/>
    <col min="30" max="30" width="51" style="82" customWidth="1"/>
    <col min="31" max="44" width="10.33203125" style="82" customWidth="1"/>
    <col min="45" max="62" width="9.109375" style="82"/>
    <col min="63" max="63" width="40.6640625" style="82" customWidth="1"/>
    <col min="64" max="16384" width="9.109375" style="82"/>
  </cols>
  <sheetData>
    <row r="1" spans="1:74" ht="16.8" thickTop="1" thickBot="1">
      <c r="A1" s="430" t="s">
        <v>0</v>
      </c>
      <c r="B1" s="432" t="s">
        <v>1</v>
      </c>
      <c r="C1" s="631" t="s">
        <v>2</v>
      </c>
      <c r="D1" s="632"/>
      <c r="E1" s="632"/>
      <c r="H1" s="450"/>
      <c r="I1" s="450"/>
      <c r="K1" s="450"/>
      <c r="L1" s="450"/>
      <c r="M1" s="450"/>
      <c r="N1" s="450"/>
      <c r="O1" s="450"/>
      <c r="P1" s="450"/>
      <c r="Q1" s="450"/>
      <c r="R1" s="450"/>
      <c r="S1" s="450"/>
      <c r="AA1" s="504"/>
      <c r="AC1" s="546"/>
      <c r="AD1" s="450"/>
      <c r="AE1" s="450"/>
      <c r="AF1" s="450"/>
      <c r="AG1" s="547" t="s">
        <v>3</v>
      </c>
      <c r="AH1" s="547"/>
      <c r="AI1" s="547"/>
      <c r="AJ1" s="547"/>
      <c r="AK1" s="547"/>
      <c r="AL1" s="547"/>
      <c r="AM1" s="547"/>
      <c r="AN1" s="547"/>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row>
    <row r="2" spans="1:74" ht="18.600000000000001" thickTop="1" thickBot="1">
      <c r="A2" s="379" t="s">
        <v>4</v>
      </c>
      <c r="B2" s="431" t="s">
        <v>5</v>
      </c>
      <c r="C2" s="633"/>
      <c r="D2" s="633"/>
      <c r="E2" s="633"/>
      <c r="H2" s="548">
        <v>2.4</v>
      </c>
      <c r="I2" s="450"/>
      <c r="K2" s="450"/>
      <c r="L2" s="450"/>
      <c r="M2" s="450"/>
      <c r="N2" s="450"/>
      <c r="O2" s="450"/>
      <c r="P2" s="450"/>
      <c r="Q2" s="450"/>
      <c r="R2" s="450"/>
      <c r="S2" s="450"/>
      <c r="AB2" s="505"/>
      <c r="AC2" s="450"/>
      <c r="AD2" s="450"/>
      <c r="AE2" s="450"/>
      <c r="AF2" s="450"/>
      <c r="AG2" s="547" t="s">
        <v>6</v>
      </c>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row>
    <row r="3" spans="1:74" ht="85.5" customHeight="1" thickTop="1" thickBot="1">
      <c r="A3" s="89" t="s">
        <v>7</v>
      </c>
      <c r="B3" s="483" t="s">
        <v>8</v>
      </c>
      <c r="C3" s="433" t="s">
        <v>9</v>
      </c>
      <c r="D3" s="434" t="s">
        <v>10</v>
      </c>
      <c r="E3" s="434" t="s">
        <v>11</v>
      </c>
      <c r="F3" s="88" t="s">
        <v>12</v>
      </c>
      <c r="G3" s="86" t="str">
        <f>IF(TRIM(B3)="F","F","E")</f>
        <v>F</v>
      </c>
      <c r="H3" s="450"/>
      <c r="I3" s="450"/>
      <c r="K3" s="450"/>
      <c r="L3" s="450"/>
      <c r="M3" s="450"/>
      <c r="N3" s="450"/>
      <c r="O3" s="450"/>
      <c r="P3" s="450"/>
      <c r="Q3" s="450"/>
      <c r="R3" s="549">
        <f>Year_four_digits</f>
        <v>2026</v>
      </c>
      <c r="S3" s="450"/>
      <c r="W3" s="473" t="str">
        <f>E144</f>
        <v>Entrer l'année ici.
(par ex. 2026)</v>
      </c>
      <c r="AC3" s="450"/>
      <c r="AD3" s="550" t="str">
        <f>E165</f>
        <v>F164_</v>
      </c>
      <c r="AE3" s="450"/>
      <c r="AF3" s="514"/>
      <c r="AG3" s="516" t="str">
        <f>IF(Language="f",AG2,AG1)</f>
        <v>Veuillez faire un zoom arrière si le curseur a disparu après avoir appuyé sur la touche Début.</v>
      </c>
      <c r="AH3" s="516"/>
      <c r="AI3" s="516"/>
      <c r="AJ3" s="516"/>
      <c r="AK3" s="516"/>
      <c r="AL3" s="516"/>
      <c r="AM3" s="516"/>
      <c r="AN3" s="516"/>
      <c r="AO3" s="516"/>
      <c r="AP3" s="516"/>
      <c r="AQ3" s="515"/>
      <c r="AR3" s="515"/>
      <c r="AS3" s="515"/>
      <c r="AT3" s="515"/>
      <c r="AU3" s="515"/>
      <c r="AV3" s="515"/>
      <c r="AW3" s="629"/>
      <c r="AX3" s="630"/>
      <c r="AY3" s="630"/>
      <c r="AZ3" s="630"/>
      <c r="BA3" s="630"/>
      <c r="BB3" s="629"/>
      <c r="BC3" s="630"/>
      <c r="BD3" s="630"/>
      <c r="BE3" s="551"/>
      <c r="BF3" s="551"/>
      <c r="BG3" s="551"/>
      <c r="BH3" s="551"/>
      <c r="BI3" s="551"/>
      <c r="BJ3" s="551"/>
      <c r="BK3" s="527" t="str">
        <f>IF(Language="f",Instructions!$F$45,Instructions!$E$45)</f>
        <v>Veuillez enregistrer 
le fichier dans vos dossiers 
et ne pas oublier de faire des 
enregistrements fréquents.</v>
      </c>
      <c r="BL3" s="551"/>
      <c r="BM3" s="551"/>
      <c r="BN3" s="551"/>
      <c r="BO3" s="551"/>
      <c r="BP3" s="551"/>
      <c r="BQ3" s="551"/>
      <c r="BR3" s="551"/>
      <c r="BS3" s="551"/>
      <c r="BT3" s="551"/>
      <c r="BU3" s="551"/>
      <c r="BV3" s="551"/>
    </row>
    <row r="4" spans="1:74" ht="31.2" thickTop="1">
      <c r="A4" s="435" t="s">
        <v>13</v>
      </c>
      <c r="B4" s="482"/>
      <c r="C4" s="436" t="s">
        <v>14</v>
      </c>
      <c r="D4" s="437" t="s">
        <v>15</v>
      </c>
      <c r="E4" s="438" t="s">
        <v>16</v>
      </c>
      <c r="F4" s="85" t="s">
        <v>17</v>
      </c>
      <c r="G4" s="85" t="s">
        <v>18</v>
      </c>
      <c r="H4" s="450"/>
      <c r="I4" s="85" t="s">
        <v>19</v>
      </c>
      <c r="J4" s="85" t="s">
        <v>20</v>
      </c>
      <c r="K4" s="450"/>
      <c r="L4" s="450"/>
      <c r="M4" s="450"/>
      <c r="N4" s="450"/>
      <c r="O4" s="450"/>
      <c r="P4" s="450"/>
      <c r="Q4" s="450"/>
      <c r="R4" s="450"/>
      <c r="S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row>
    <row r="5" spans="1:74" ht="30.75" customHeight="1">
      <c r="A5" s="450" t="str">
        <f t="shared" ref="A5:A69" si="0">IF(LEN(C5)-LEN(TRIM(C5))&gt;0,"May begin or end with a blank space","- -")</f>
        <v>- -</v>
      </c>
      <c r="B5" s="450"/>
      <c r="C5" s="535" t="s">
        <v>21</v>
      </c>
      <c r="D5" s="536">
        <v>2026</v>
      </c>
      <c r="E5" s="552"/>
      <c r="F5" s="85">
        <f>LEN(C5)</f>
        <v>14</v>
      </c>
      <c r="G5" s="85">
        <f>LEN(D5)</f>
        <v>4</v>
      </c>
      <c r="H5" s="553" t="str">
        <f>IF(I5&lt;&gt;J5,"Check matching spaces at beginning or end","- -")</f>
        <v>- -</v>
      </c>
      <c r="I5" s="554">
        <f>F5-LEN(TRIM(C5))</f>
        <v>0</v>
      </c>
      <c r="J5" s="554">
        <f>G5-LEN(TRIM(D5))</f>
        <v>0</v>
      </c>
      <c r="K5" s="362"/>
      <c r="L5" s="362"/>
      <c r="M5" s="362"/>
      <c r="N5" s="362"/>
      <c r="O5" s="362"/>
      <c r="P5" s="362"/>
      <c r="Q5" s="362"/>
      <c r="R5" s="9">
        <v>1</v>
      </c>
      <c r="S5" s="362"/>
      <c r="AC5" s="531"/>
      <c r="AD5" s="555"/>
      <c r="AE5" s="556"/>
      <c r="AF5" s="557" t="str">
        <f t="shared" ref="AF5:AF10" si="1">IF(AND(ISNUMBER(AD5),ISNUMBER(AE5)),AE5-AD5,"")</f>
        <v/>
      </c>
      <c r="AG5" s="558"/>
      <c r="AH5" s="559"/>
      <c r="AI5" s="560"/>
      <c r="AJ5" s="559"/>
      <c r="AK5" s="91">
        <v>1</v>
      </c>
      <c r="AL5" s="36"/>
      <c r="AM5" s="120" t="e">
        <f>INDEX('NTS ONLY_set_year'!X:X,MATCH(TEXT($AI5,"Ddd"),'NTS ONLY_set_year'!#REF!,0))</f>
        <v>#REF!</v>
      </c>
      <c r="AN5" s="186">
        <f t="shared" ref="AN5:AN10" si="2">$AF$21</f>
        <v>0</v>
      </c>
      <c r="AO5" s="120"/>
      <c r="AP5" s="120"/>
      <c r="AQ5" s="347">
        <f t="shared" ref="AQ5:AQ10" si="3">$AP$9+R5</f>
        <v>1</v>
      </c>
      <c r="AR5" s="358" t="e">
        <f t="shared" ref="AR5:AR10" si="4">AM5&amp;". "&amp;AN5&amp;" "&amp;AK5&amp;", "&amp;$AP$8</f>
        <v>#REF!</v>
      </c>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row>
    <row r="6" spans="1:74" s="83" customFormat="1" ht="39.6">
      <c r="A6" s="450" t="str">
        <f t="shared" si="0"/>
        <v>May begin or end with a blank space</v>
      </c>
      <c r="B6" s="450"/>
      <c r="C6" s="396" t="s">
        <v>22</v>
      </c>
      <c r="D6" s="397"/>
      <c r="E6" s="552" t="str">
        <f t="shared" ref="E6:E69" si="5">IF($G$3="F",IF(G6=0,"",D6),IF(F6=0,"",C6))</f>
        <v/>
      </c>
      <c r="F6" s="85">
        <f t="shared" ref="F6:F69" si="6">LEN(C6)</f>
        <v>68</v>
      </c>
      <c r="G6" s="85">
        <f t="shared" ref="G6:G69" si="7">LEN(D6)</f>
        <v>0</v>
      </c>
      <c r="H6" s="553" t="str">
        <f t="shared" ref="H6:H69" si="8">IF(I6&lt;&gt;J6,"Check matching spaces at beginning or end","- -")</f>
        <v>Check matching spaces at beginning or end</v>
      </c>
      <c r="I6" s="554">
        <f t="shared" ref="I6:I69" si="9">F6-LEN(TRIM(C6))</f>
        <v>1</v>
      </c>
      <c r="J6" s="554">
        <f t="shared" ref="J6:J69" si="10">G6-LEN(TRIM(D6))</f>
        <v>0</v>
      </c>
      <c r="K6" s="362"/>
      <c r="L6" s="362"/>
      <c r="M6" s="362"/>
      <c r="N6" s="362"/>
      <c r="O6" s="362"/>
      <c r="P6" s="362"/>
      <c r="Q6" s="362"/>
      <c r="R6" s="9">
        <v>2</v>
      </c>
      <c r="S6" s="362"/>
      <c r="T6"/>
      <c r="U6"/>
      <c r="V6"/>
      <c r="W6"/>
      <c r="X6"/>
      <c r="Y6"/>
      <c r="Z6"/>
      <c r="AA6"/>
      <c r="AB6"/>
      <c r="AC6" s="534"/>
      <c r="AD6" s="555">
        <v>50</v>
      </c>
      <c r="AE6" s="556">
        <v>555</v>
      </c>
      <c r="AF6" s="557">
        <f t="shared" si="1"/>
        <v>505</v>
      </c>
      <c r="AG6" s="558"/>
      <c r="AH6" s="559"/>
      <c r="AI6" s="560"/>
      <c r="AJ6" s="559"/>
      <c r="AK6" s="18">
        <f>IF(ISBLANK(R6),"",R6)</f>
        <v>2</v>
      </c>
      <c r="AL6" s="36"/>
      <c r="AM6" s="120" t="e">
        <f>INDEX('NTS ONLY_set_year'!X:X,MATCH(TEXT($AI6,"Ddd"),'NTS ONLY_set_year'!#REF!,0))</f>
        <v>#REF!</v>
      </c>
      <c r="AN6" s="186">
        <f t="shared" si="2"/>
        <v>0</v>
      </c>
      <c r="AO6" s="120"/>
      <c r="AP6" s="120"/>
      <c r="AQ6" s="347">
        <f t="shared" si="3"/>
        <v>2</v>
      </c>
      <c r="AR6" s="358" t="e">
        <f t="shared" si="4"/>
        <v>#REF!</v>
      </c>
      <c r="AS6" s="450"/>
      <c r="AT6" s="450"/>
      <c r="AU6" s="450"/>
      <c r="AV6" s="450"/>
      <c r="AW6" s="450"/>
      <c r="AX6" s="450"/>
      <c r="AY6" s="450"/>
      <c r="AZ6" s="450"/>
      <c r="BA6" s="450"/>
      <c r="BB6" s="450"/>
      <c r="BC6" s="450"/>
      <c r="BD6" s="450"/>
      <c r="BE6" s="450"/>
      <c r="BF6" s="450"/>
      <c r="BG6" s="450"/>
      <c r="BH6" s="450"/>
      <c r="BI6" s="450"/>
      <c r="BJ6" s="450"/>
      <c r="BK6" s="450"/>
      <c r="BL6" s="450"/>
      <c r="BM6" s="450"/>
      <c r="BN6" s="450"/>
      <c r="BO6" s="450"/>
      <c r="BP6" s="450"/>
      <c r="BQ6" s="450"/>
      <c r="BR6" s="450"/>
      <c r="BS6" s="450"/>
      <c r="BT6" s="450"/>
      <c r="BU6" s="450"/>
      <c r="BV6" s="450"/>
    </row>
    <row r="7" spans="1:74">
      <c r="A7" s="450" t="str">
        <f t="shared" si="0"/>
        <v>May begin or end with a blank space</v>
      </c>
      <c r="B7" s="450"/>
      <c r="C7" s="450" t="s">
        <v>23</v>
      </c>
      <c r="D7" s="90" t="s">
        <v>24</v>
      </c>
      <c r="E7" s="552" t="str">
        <f t="shared" si="5"/>
        <v xml:space="preserve"> jours dans le mois</v>
      </c>
      <c r="F7" s="85">
        <f t="shared" si="6"/>
        <v>14</v>
      </c>
      <c r="G7" s="85">
        <f t="shared" si="7"/>
        <v>19</v>
      </c>
      <c r="H7" s="553" t="str">
        <f t="shared" si="8"/>
        <v>- -</v>
      </c>
      <c r="I7" s="554">
        <f t="shared" si="9"/>
        <v>1</v>
      </c>
      <c r="J7" s="554">
        <f t="shared" si="10"/>
        <v>1</v>
      </c>
      <c r="K7" s="362"/>
      <c r="L7" s="362"/>
      <c r="M7" s="362"/>
      <c r="N7" s="362"/>
      <c r="O7" s="362"/>
      <c r="P7" s="362"/>
      <c r="Q7" s="362"/>
      <c r="R7" s="9">
        <v>3</v>
      </c>
      <c r="S7" s="362"/>
      <c r="AC7" s="534"/>
      <c r="AD7" s="555"/>
      <c r="AE7" s="556"/>
      <c r="AF7" s="557" t="str">
        <f t="shared" si="1"/>
        <v/>
      </c>
      <c r="AG7" s="558"/>
      <c r="AH7" s="559"/>
      <c r="AI7" s="560"/>
      <c r="AJ7" s="559"/>
      <c r="AK7" s="18">
        <f>IF(ISBLANK(R7),"",R7)</f>
        <v>3</v>
      </c>
      <c r="AL7" s="36"/>
      <c r="AM7" s="120" t="e">
        <f>INDEX('NTS ONLY_set_year'!X:X,MATCH(TEXT($AI7,"Ddd"),'NTS ONLY_set_year'!#REF!,0))</f>
        <v>#REF!</v>
      </c>
      <c r="AN7" s="186">
        <f t="shared" si="2"/>
        <v>0</v>
      </c>
      <c r="AO7" s="120"/>
      <c r="AP7" s="120"/>
      <c r="AQ7" s="347">
        <f t="shared" si="3"/>
        <v>3</v>
      </c>
      <c r="AR7" s="358" t="e">
        <f t="shared" si="4"/>
        <v>#REF!</v>
      </c>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c r="BQ7" s="450"/>
      <c r="BR7" s="450"/>
      <c r="BS7" s="450"/>
      <c r="BT7" s="450"/>
      <c r="BU7" s="450"/>
      <c r="BV7" s="450"/>
    </row>
    <row r="8" spans="1:74" ht="26.4">
      <c r="A8" s="450" t="str">
        <f t="shared" si="0"/>
        <v>- -</v>
      </c>
      <c r="B8" s="450"/>
      <c r="C8" s="450" t="s">
        <v>25</v>
      </c>
      <c r="D8" s="90" t="s">
        <v>26</v>
      </c>
      <c r="E8" s="552" t="str">
        <f t="shared" si="5"/>
        <v>(par ex., si le km au départ est inférieur au km à l'arrivée du déplacement précédent)</v>
      </c>
      <c r="F8" s="85">
        <f t="shared" si="6"/>
        <v>67</v>
      </c>
      <c r="G8" s="85">
        <f t="shared" si="7"/>
        <v>86</v>
      </c>
      <c r="H8" s="553" t="str">
        <f t="shared" si="8"/>
        <v>- -</v>
      </c>
      <c r="I8" s="554">
        <f t="shared" si="9"/>
        <v>0</v>
      </c>
      <c r="J8" s="554">
        <f t="shared" si="10"/>
        <v>0</v>
      </c>
      <c r="K8" s="362"/>
      <c r="L8" s="362"/>
      <c r="M8" s="362"/>
      <c r="N8" s="362"/>
      <c r="O8" s="362"/>
      <c r="P8" s="362"/>
      <c r="Q8" s="362"/>
      <c r="R8" s="9">
        <v>4</v>
      </c>
      <c r="S8" s="362"/>
      <c r="AC8" s="534"/>
      <c r="AD8" s="555"/>
      <c r="AE8" s="556"/>
      <c r="AF8" s="557" t="str">
        <f t="shared" si="1"/>
        <v/>
      </c>
      <c r="AG8" s="558"/>
      <c r="AH8" s="559"/>
      <c r="AI8" s="560"/>
      <c r="AJ8" s="559"/>
      <c r="AK8" s="18">
        <f>IF(ISBLANK(R8),"",R8)</f>
        <v>4</v>
      </c>
      <c r="AL8" s="36"/>
      <c r="AM8" s="120" t="e">
        <f>INDEX('NTS ONLY_set_year'!X:X,MATCH(TEXT($AI8,"Ddd"),'NTS ONLY_set_year'!#REF!,0))</f>
        <v>#REF!</v>
      </c>
      <c r="AN8" s="186">
        <f t="shared" si="2"/>
        <v>0</v>
      </c>
      <c r="AO8" s="120"/>
      <c r="AP8" s="120"/>
      <c r="AQ8" s="347">
        <f t="shared" si="3"/>
        <v>4</v>
      </c>
      <c r="AR8" s="358" t="e">
        <f t="shared" si="4"/>
        <v>#REF!</v>
      </c>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450"/>
      <c r="BT8" s="450"/>
      <c r="BU8" s="450"/>
      <c r="BV8" s="450"/>
    </row>
    <row r="9" spans="1:74">
      <c r="A9" s="450" t="str">
        <f t="shared" si="0"/>
        <v>- -</v>
      </c>
      <c r="B9" s="450"/>
      <c r="C9" s="450" t="s">
        <v>27</v>
      </c>
      <c r="D9" s="90" t="s">
        <v>28</v>
      </c>
      <c r="E9" s="552" t="str">
        <f t="shared" si="5"/>
        <v>(aa ou aaaa)</v>
      </c>
      <c r="F9" s="85">
        <f t="shared" si="6"/>
        <v>12</v>
      </c>
      <c r="G9" s="85">
        <f t="shared" si="7"/>
        <v>12</v>
      </c>
      <c r="H9" s="553" t="str">
        <f t="shared" si="8"/>
        <v>- -</v>
      </c>
      <c r="I9" s="554">
        <f t="shared" si="9"/>
        <v>0</v>
      </c>
      <c r="J9" s="554">
        <f t="shared" si="10"/>
        <v>0</v>
      </c>
      <c r="K9" s="362"/>
      <c r="L9" s="362"/>
      <c r="M9" s="362"/>
      <c r="N9" s="362"/>
      <c r="O9" s="362"/>
      <c r="P9" s="362"/>
      <c r="Q9" s="362"/>
      <c r="R9" s="9">
        <v>5</v>
      </c>
      <c r="S9" s="362"/>
      <c r="AC9" s="534"/>
      <c r="AD9" s="555"/>
      <c r="AE9" s="556"/>
      <c r="AF9" s="557" t="str">
        <f t="shared" si="1"/>
        <v/>
      </c>
      <c r="AG9" s="558"/>
      <c r="AH9" s="559"/>
      <c r="AI9" s="560"/>
      <c r="AJ9" s="559"/>
      <c r="AK9" s="18">
        <f>IF(ISBLANK(R9),"",R9)</f>
        <v>5</v>
      </c>
      <c r="AL9" s="36"/>
      <c r="AM9" s="120" t="e">
        <f>INDEX('NTS ONLY_set_year'!X:X,MATCH(TEXT($AI9,"Ddd"),'NTS ONLY_set_year'!#REF!,0))</f>
        <v>#REF!</v>
      </c>
      <c r="AN9" s="186">
        <f t="shared" si="2"/>
        <v>0</v>
      </c>
      <c r="AO9" s="120"/>
      <c r="AP9" s="120"/>
      <c r="AQ9" s="347">
        <f t="shared" si="3"/>
        <v>5</v>
      </c>
      <c r="AR9" s="358" t="e">
        <f t="shared" si="4"/>
        <v>#REF!</v>
      </c>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row>
    <row r="10" spans="1:74">
      <c r="A10" s="450" t="str">
        <f t="shared" si="0"/>
        <v>- -</v>
      </c>
      <c r="B10" s="450"/>
      <c r="C10" s="450" t="s">
        <v>29</v>
      </c>
      <c r="D10" s="90" t="s">
        <v>29</v>
      </c>
      <c r="E10" s="552" t="str">
        <f t="shared" si="5"/>
        <v>◄◄◄</v>
      </c>
      <c r="F10" s="85">
        <f t="shared" si="6"/>
        <v>3</v>
      </c>
      <c r="G10" s="85">
        <f t="shared" si="7"/>
        <v>3</v>
      </c>
      <c r="H10" s="553" t="str">
        <f t="shared" si="8"/>
        <v>- -</v>
      </c>
      <c r="I10" s="554">
        <f t="shared" si="9"/>
        <v>0</v>
      </c>
      <c r="J10" s="554">
        <f t="shared" si="10"/>
        <v>0</v>
      </c>
      <c r="K10" s="362"/>
      <c r="L10" s="362"/>
      <c r="M10" s="362"/>
      <c r="N10" s="362"/>
      <c r="O10" s="362"/>
      <c r="P10" s="362"/>
      <c r="Q10" s="362"/>
      <c r="R10" s="9">
        <v>6</v>
      </c>
      <c r="S10" s="362"/>
      <c r="AC10" s="534"/>
      <c r="AD10" s="555"/>
      <c r="AE10" s="556"/>
      <c r="AF10" s="557" t="str">
        <f t="shared" si="1"/>
        <v/>
      </c>
      <c r="AG10" s="558"/>
      <c r="AH10" s="559"/>
      <c r="AI10" s="560"/>
      <c r="AJ10" s="559"/>
      <c r="AK10" s="18">
        <f>IF(ISBLANK(R10),"",R10)</f>
        <v>6</v>
      </c>
      <c r="AL10" s="36"/>
      <c r="AM10" s="120" t="e">
        <f>INDEX('NTS ONLY_set_year'!X:X,MATCH(TEXT($AI10,"Ddd"),'NTS ONLY_set_year'!#REF!,0))</f>
        <v>#REF!</v>
      </c>
      <c r="AN10" s="186">
        <f t="shared" si="2"/>
        <v>0</v>
      </c>
      <c r="AO10" s="120"/>
      <c r="AP10" s="120"/>
      <c r="AQ10" s="347">
        <f t="shared" si="3"/>
        <v>6</v>
      </c>
      <c r="AR10" s="358" t="e">
        <f t="shared" si="4"/>
        <v>#REF!</v>
      </c>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row>
    <row r="11" spans="1:74">
      <c r="A11" s="450" t="str">
        <f t="shared" si="0"/>
        <v>- -</v>
      </c>
      <c r="B11" s="450"/>
      <c r="C11" s="450" t="s">
        <v>30</v>
      </c>
      <c r="D11" s="90" t="s">
        <v>31</v>
      </c>
      <c r="E11" s="552" t="str">
        <f t="shared" si="5"/>
        <v>Réparations accident (affaires)</v>
      </c>
      <c r="F11" s="85">
        <f t="shared" si="6"/>
        <v>26</v>
      </c>
      <c r="G11" s="85">
        <f t="shared" si="7"/>
        <v>31</v>
      </c>
      <c r="H11" s="553" t="str">
        <f t="shared" si="8"/>
        <v>- -</v>
      </c>
      <c r="I11" s="554">
        <f t="shared" si="9"/>
        <v>0</v>
      </c>
      <c r="J11" s="554">
        <f t="shared" si="10"/>
        <v>0</v>
      </c>
      <c r="K11" s="362"/>
      <c r="L11" s="362"/>
      <c r="M11" s="362"/>
      <c r="N11" s="362"/>
      <c r="O11" s="362"/>
      <c r="P11" s="362"/>
      <c r="Q11" s="362"/>
      <c r="R11" s="9">
        <v>7</v>
      </c>
      <c r="S11" s="362"/>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row>
    <row r="12" spans="1:74">
      <c r="A12" s="450" t="str">
        <f t="shared" si="0"/>
        <v>- -</v>
      </c>
      <c r="B12" s="450"/>
      <c r="C12" s="450" t="s">
        <v>32</v>
      </c>
      <c r="D12" s="90" t="s">
        <v>33</v>
      </c>
      <c r="E12" s="552" t="str">
        <f t="shared" si="5"/>
        <v>Réparations accident (personnel)</v>
      </c>
      <c r="F12" s="85">
        <f t="shared" si="6"/>
        <v>26</v>
      </c>
      <c r="G12" s="85">
        <f t="shared" si="7"/>
        <v>32</v>
      </c>
      <c r="H12" s="553" t="str">
        <f t="shared" si="8"/>
        <v>- -</v>
      </c>
      <c r="I12" s="554">
        <f t="shared" si="9"/>
        <v>0</v>
      </c>
      <c r="J12" s="554">
        <f t="shared" si="10"/>
        <v>0</v>
      </c>
      <c r="K12" s="362"/>
      <c r="L12" s="362"/>
      <c r="M12" s="362"/>
      <c r="N12" s="362"/>
      <c r="O12" s="362"/>
      <c r="P12" s="362"/>
      <c r="Q12" s="362"/>
      <c r="R12" s="9">
        <v>8</v>
      </c>
      <c r="S12" s="362"/>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row>
    <row r="13" spans="1:74">
      <c r="A13" s="450" t="str">
        <f t="shared" si="0"/>
        <v>- -</v>
      </c>
      <c r="B13" s="450"/>
      <c r="C13" s="450" t="s">
        <v>34</v>
      </c>
      <c r="D13" s="90" t="s">
        <v>35</v>
      </c>
      <c r="E13" s="552" t="str">
        <f t="shared" si="5"/>
        <v>Par rapport à la plus petite lecture du mois</v>
      </c>
      <c r="F13" s="85">
        <f t="shared" si="6"/>
        <v>38</v>
      </c>
      <c r="G13" s="85">
        <f t="shared" si="7"/>
        <v>44</v>
      </c>
      <c r="H13" s="553" t="str">
        <f t="shared" si="8"/>
        <v>- -</v>
      </c>
      <c r="I13" s="554">
        <f t="shared" si="9"/>
        <v>0</v>
      </c>
      <c r="J13" s="554">
        <f t="shared" si="10"/>
        <v>0</v>
      </c>
      <c r="K13" s="362"/>
      <c r="L13" s="362"/>
      <c r="M13" s="362"/>
      <c r="N13" s="362"/>
      <c r="O13" s="362"/>
      <c r="P13" s="362"/>
      <c r="Q13" s="362"/>
      <c r="R13" s="9">
        <v>9</v>
      </c>
      <c r="S13" s="362"/>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450"/>
      <c r="BU13" s="450"/>
      <c r="BV13" s="450"/>
    </row>
    <row r="14" spans="1:74">
      <c r="A14" s="450" t="str">
        <f t="shared" si="0"/>
        <v>- -</v>
      </c>
      <c r="B14" s="450"/>
      <c r="C14" s="450" t="s">
        <v>36</v>
      </c>
      <c r="D14" s="90" t="s">
        <v>37</v>
      </c>
      <c r="E14" s="552" t="str">
        <f t="shared" si="5"/>
        <v>par rapport à la fin du mois précédent</v>
      </c>
      <c r="F14" s="85">
        <f t="shared" si="6"/>
        <v>29</v>
      </c>
      <c r="G14" s="85">
        <f t="shared" si="7"/>
        <v>38</v>
      </c>
      <c r="H14" s="553" t="str">
        <f t="shared" si="8"/>
        <v>- -</v>
      </c>
      <c r="I14" s="554">
        <f t="shared" si="9"/>
        <v>0</v>
      </c>
      <c r="J14" s="554">
        <f t="shared" si="10"/>
        <v>0</v>
      </c>
      <c r="K14" s="362"/>
      <c r="L14" s="362"/>
      <c r="M14" s="362"/>
      <c r="N14" s="362"/>
      <c r="O14" s="362"/>
      <c r="P14" s="362"/>
      <c r="Q14" s="362"/>
      <c r="R14" s="9">
        <v>10</v>
      </c>
      <c r="S14" s="362"/>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c r="BL14" s="450"/>
      <c r="BM14" s="450"/>
      <c r="BN14" s="450"/>
      <c r="BO14" s="450"/>
      <c r="BP14" s="450"/>
      <c r="BQ14" s="450"/>
      <c r="BR14" s="450"/>
      <c r="BS14" s="450"/>
      <c r="BT14" s="450"/>
      <c r="BU14" s="450"/>
      <c r="BV14" s="450"/>
    </row>
    <row r="15" spans="1:74">
      <c r="A15" s="450" t="str">
        <f t="shared" si="0"/>
        <v>- -</v>
      </c>
      <c r="B15" s="450"/>
      <c r="C15" s="450" t="s">
        <v>38</v>
      </c>
      <c r="D15" s="90" t="s">
        <v>39</v>
      </c>
      <c r="E15" s="552" t="str">
        <f t="shared" si="5"/>
        <v>Allocations reçues de l'employeur</v>
      </c>
      <c r="F15" s="85">
        <f t="shared" si="6"/>
        <v>24</v>
      </c>
      <c r="G15" s="85">
        <f t="shared" si="7"/>
        <v>33</v>
      </c>
      <c r="H15" s="553" t="str">
        <f t="shared" si="8"/>
        <v>- -</v>
      </c>
      <c r="I15" s="554">
        <f t="shared" si="9"/>
        <v>0</v>
      </c>
      <c r="J15" s="554">
        <f t="shared" si="10"/>
        <v>0</v>
      </c>
      <c r="K15" s="362"/>
      <c r="L15" s="362"/>
      <c r="M15" s="362"/>
      <c r="N15" s="362"/>
      <c r="O15" s="362"/>
      <c r="P15" s="362"/>
      <c r="Q15" s="362"/>
      <c r="R15" s="9">
        <v>11</v>
      </c>
      <c r="S15" s="362"/>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c r="BR15" s="450"/>
      <c r="BS15" s="450"/>
      <c r="BT15" s="450"/>
      <c r="BU15" s="450"/>
      <c r="BV15" s="450"/>
    </row>
    <row r="16" spans="1:74">
      <c r="A16" s="450" t="str">
        <f t="shared" si="0"/>
        <v>- -</v>
      </c>
      <c r="B16" s="450"/>
      <c r="C16" s="450" t="s">
        <v>40</v>
      </c>
      <c r="D16" s="90" t="s">
        <v>41</v>
      </c>
      <c r="E16" s="552" t="str">
        <f t="shared" si="5"/>
        <v>Montant</v>
      </c>
      <c r="F16" s="85">
        <f t="shared" si="6"/>
        <v>6</v>
      </c>
      <c r="G16" s="85">
        <f t="shared" si="7"/>
        <v>7</v>
      </c>
      <c r="H16" s="553" t="str">
        <f t="shared" si="8"/>
        <v>- -</v>
      </c>
      <c r="I16" s="554">
        <f t="shared" si="9"/>
        <v>0</v>
      </c>
      <c r="J16" s="554">
        <f t="shared" si="10"/>
        <v>0</v>
      </c>
      <c r="K16" s="362"/>
      <c r="L16" s="362"/>
      <c r="M16" s="362"/>
      <c r="N16" s="362"/>
      <c r="O16" s="362"/>
      <c r="P16" s="362"/>
      <c r="Q16" s="362"/>
      <c r="R16" s="9"/>
      <c r="S16" s="362"/>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c r="BP16" s="450"/>
      <c r="BQ16" s="450"/>
      <c r="BR16" s="450"/>
      <c r="BS16" s="450"/>
      <c r="BT16" s="450"/>
      <c r="BU16" s="450"/>
      <c r="BV16" s="450"/>
    </row>
    <row r="17" spans="1:28">
      <c r="A17" s="450" t="str">
        <f t="shared" si="0"/>
        <v>- -</v>
      </c>
      <c r="B17" s="450"/>
      <c r="C17" s="450" t="s">
        <v>42</v>
      </c>
      <c r="D17" s="90" t="s">
        <v>43</v>
      </c>
      <c r="E17" s="552" t="str">
        <f t="shared" si="5"/>
        <v>Montants reçus</v>
      </c>
      <c r="F17" s="85">
        <f t="shared" si="6"/>
        <v>16</v>
      </c>
      <c r="G17" s="85">
        <f t="shared" si="7"/>
        <v>14</v>
      </c>
      <c r="H17" s="553" t="str">
        <f t="shared" si="8"/>
        <v>- -</v>
      </c>
      <c r="I17" s="554">
        <f t="shared" si="9"/>
        <v>0</v>
      </c>
      <c r="J17" s="554">
        <f t="shared" si="10"/>
        <v>0</v>
      </c>
      <c r="K17" s="362"/>
      <c r="L17" s="362"/>
      <c r="M17" s="362"/>
      <c r="N17" s="362"/>
      <c r="O17" s="362"/>
      <c r="P17" s="362"/>
      <c r="Q17" s="362"/>
      <c r="R17" s="9">
        <v>12</v>
      </c>
      <c r="S17" s="362"/>
    </row>
    <row r="18" spans="1:28">
      <c r="A18" s="450" t="str">
        <f t="shared" si="0"/>
        <v>- -</v>
      </c>
      <c r="B18" s="450"/>
      <c r="C18" s="450" t="s">
        <v>44</v>
      </c>
      <c r="D18" s="90" t="s">
        <v>45</v>
      </c>
      <c r="E18" s="552" t="str">
        <f t="shared" si="5"/>
        <v>et</v>
      </c>
      <c r="F18" s="85">
        <f t="shared" si="6"/>
        <v>3</v>
      </c>
      <c r="G18" s="85">
        <f t="shared" si="7"/>
        <v>2</v>
      </c>
      <c r="H18" s="553" t="str">
        <f t="shared" si="8"/>
        <v>- -</v>
      </c>
      <c r="I18" s="554">
        <f t="shared" si="9"/>
        <v>0</v>
      </c>
      <c r="J18" s="554">
        <f t="shared" si="10"/>
        <v>0</v>
      </c>
      <c r="K18" s="362"/>
      <c r="L18" s="362"/>
      <c r="M18" s="362"/>
      <c r="N18" s="362"/>
      <c r="O18" s="362"/>
      <c r="P18" s="362"/>
      <c r="Q18" s="362"/>
      <c r="R18" s="9">
        <v>13</v>
      </c>
      <c r="S18" s="362"/>
    </row>
    <row r="19" spans="1:28" ht="26.4">
      <c r="A19" s="450" t="str">
        <f t="shared" si="0"/>
        <v>May begin or end with a blank space</v>
      </c>
      <c r="B19" s="450"/>
      <c r="C19" s="450" t="s">
        <v>46</v>
      </c>
      <c r="D19" s="90" t="s">
        <v>47</v>
      </c>
      <c r="E19" s="552" t="str">
        <f t="shared" si="5"/>
        <v xml:space="preserve">Sommaire annuel indique que l'automobile n'est pas disponible pour tout le mois de </v>
      </c>
      <c r="F19" s="85">
        <f t="shared" si="6"/>
        <v>64</v>
      </c>
      <c r="G19" s="85">
        <f t="shared" si="7"/>
        <v>83</v>
      </c>
      <c r="H19" s="553" t="str">
        <f t="shared" si="8"/>
        <v>- -</v>
      </c>
      <c r="I19" s="554">
        <f t="shared" si="9"/>
        <v>1</v>
      </c>
      <c r="J19" s="554">
        <f t="shared" si="10"/>
        <v>1</v>
      </c>
      <c r="K19" s="362"/>
      <c r="L19" s="362"/>
      <c r="M19" s="362"/>
      <c r="N19" s="362"/>
      <c r="O19" s="362"/>
      <c r="P19" s="362"/>
      <c r="Q19" s="362"/>
      <c r="R19" s="9">
        <v>14</v>
      </c>
      <c r="S19" s="362"/>
    </row>
    <row r="20" spans="1:28">
      <c r="A20" s="450" t="str">
        <f t="shared" si="0"/>
        <v>- -</v>
      </c>
      <c r="B20" s="450"/>
      <c r="C20" s="450"/>
      <c r="D20" s="90"/>
      <c r="E20" s="552" t="str">
        <f t="shared" si="5"/>
        <v/>
      </c>
      <c r="F20" s="85">
        <f t="shared" si="6"/>
        <v>0</v>
      </c>
      <c r="G20" s="85">
        <f t="shared" si="7"/>
        <v>0</v>
      </c>
      <c r="H20" s="553" t="str">
        <f t="shared" si="8"/>
        <v>- -</v>
      </c>
      <c r="I20" s="554">
        <f t="shared" si="9"/>
        <v>0</v>
      </c>
      <c r="J20" s="554">
        <f t="shared" si="10"/>
        <v>0</v>
      </c>
      <c r="K20" s="362"/>
      <c r="L20" s="362"/>
      <c r="M20" s="362"/>
      <c r="N20" s="362"/>
      <c r="O20" s="362"/>
      <c r="P20" s="362"/>
      <c r="Q20" s="362"/>
      <c r="R20" s="9">
        <v>15</v>
      </c>
      <c r="S20" s="362"/>
    </row>
    <row r="21" spans="1:28">
      <c r="A21" s="450" t="str">
        <f t="shared" si="0"/>
        <v>- -</v>
      </c>
      <c r="B21" s="450"/>
      <c r="C21" s="450"/>
      <c r="D21" s="90"/>
      <c r="E21" s="552" t="str">
        <f t="shared" si="5"/>
        <v/>
      </c>
      <c r="F21" s="85">
        <f t="shared" si="6"/>
        <v>0</v>
      </c>
      <c r="G21" s="85">
        <f t="shared" si="7"/>
        <v>0</v>
      </c>
      <c r="H21" s="553" t="str">
        <f t="shared" si="8"/>
        <v>- -</v>
      </c>
      <c r="I21" s="554">
        <f t="shared" si="9"/>
        <v>0</v>
      </c>
      <c r="J21" s="554">
        <f t="shared" si="10"/>
        <v>0</v>
      </c>
      <c r="K21" s="362"/>
      <c r="L21" s="362"/>
      <c r="M21" s="362"/>
      <c r="N21" s="362"/>
      <c r="O21" s="362"/>
      <c r="P21" s="362"/>
      <c r="Q21" s="362"/>
      <c r="R21" s="9">
        <v>16</v>
      </c>
      <c r="S21" s="362"/>
    </row>
    <row r="22" spans="1:28">
      <c r="A22" s="450" t="str">
        <f t="shared" si="0"/>
        <v>- -</v>
      </c>
      <c r="B22" s="450"/>
      <c r="C22" s="450" t="s">
        <v>48</v>
      </c>
      <c r="D22" s="90" t="s">
        <v>49</v>
      </c>
      <c r="E22" s="552" t="str">
        <f t="shared" si="5"/>
        <v>Kilomètres d'affaires</v>
      </c>
      <c r="F22" s="85">
        <f t="shared" si="6"/>
        <v>19</v>
      </c>
      <c r="G22" s="85">
        <f t="shared" si="7"/>
        <v>21</v>
      </c>
      <c r="H22" s="553" t="str">
        <f t="shared" si="8"/>
        <v>- -</v>
      </c>
      <c r="I22" s="554">
        <f t="shared" si="9"/>
        <v>0</v>
      </c>
      <c r="J22" s="554">
        <f t="shared" si="10"/>
        <v>0</v>
      </c>
      <c r="K22" s="362"/>
      <c r="L22" s="362"/>
      <c r="M22" s="362"/>
      <c r="N22" s="362"/>
      <c r="O22" s="362"/>
      <c r="P22" s="362"/>
      <c r="Q22" s="362"/>
      <c r="R22" s="9">
        <v>17</v>
      </c>
      <c r="S22" s="362"/>
    </row>
    <row r="23" spans="1:28">
      <c r="A23" s="450" t="str">
        <f t="shared" si="0"/>
        <v>- -</v>
      </c>
      <c r="B23" s="450"/>
      <c r="C23" s="450" t="s">
        <v>50</v>
      </c>
      <c r="D23" s="90" t="s">
        <v>51</v>
      </c>
      <c r="E23" s="552" t="str">
        <f t="shared" si="5"/>
        <v>Kilomètres d'affaires parcourus</v>
      </c>
      <c r="F23" s="85">
        <f t="shared" si="6"/>
        <v>26</v>
      </c>
      <c r="G23" s="85">
        <f t="shared" si="7"/>
        <v>31</v>
      </c>
      <c r="H23" s="553" t="str">
        <f t="shared" si="8"/>
        <v>- -</v>
      </c>
      <c r="I23" s="554">
        <f t="shared" si="9"/>
        <v>0</v>
      </c>
      <c r="J23" s="554">
        <f t="shared" si="10"/>
        <v>0</v>
      </c>
      <c r="K23" s="362"/>
      <c r="L23" s="362"/>
      <c r="M23" s="362"/>
      <c r="N23" s="362"/>
      <c r="O23" s="362"/>
      <c r="P23" s="362"/>
      <c r="Q23" s="362"/>
      <c r="R23" s="9">
        <v>18</v>
      </c>
      <c r="S23" s="362"/>
    </row>
    <row r="24" spans="1:28">
      <c r="A24" s="450" t="str">
        <f t="shared" si="0"/>
        <v>- -</v>
      </c>
      <c r="B24" s="450"/>
      <c r="C24" s="450" t="s">
        <v>52</v>
      </c>
      <c r="D24" s="90" t="s">
        <v>53</v>
      </c>
      <c r="E24" s="552" t="str">
        <f t="shared" si="5"/>
        <v>km d'affaires</v>
      </c>
      <c r="F24" s="85">
        <f t="shared" si="6"/>
        <v>11</v>
      </c>
      <c r="G24" s="85">
        <f t="shared" si="7"/>
        <v>13</v>
      </c>
      <c r="H24" s="553" t="str">
        <f t="shared" si="8"/>
        <v>- -</v>
      </c>
      <c r="I24" s="554">
        <f t="shared" si="9"/>
        <v>0</v>
      </c>
      <c r="J24" s="554">
        <f t="shared" si="10"/>
        <v>0</v>
      </c>
      <c r="K24" s="362"/>
      <c r="L24" s="362"/>
      <c r="M24" s="362"/>
      <c r="N24" s="362"/>
      <c r="O24" s="362"/>
      <c r="P24" s="362"/>
      <c r="Q24" s="362"/>
      <c r="R24" s="9">
        <v>19</v>
      </c>
      <c r="S24" s="362"/>
    </row>
    <row r="25" spans="1:28" ht="26.4">
      <c r="A25" s="450" t="str">
        <f t="shared" si="0"/>
        <v>May begin or end with a blank space</v>
      </c>
      <c r="B25" s="450"/>
      <c r="C25" s="450" t="s">
        <v>54</v>
      </c>
      <c r="D25" s="90" t="s">
        <v>55</v>
      </c>
      <c r="E25" s="552" t="str">
        <f t="shared" si="5"/>
        <v xml:space="preserve"> peut réduire votre avantage pour automobile pour SOIT </v>
      </c>
      <c r="F25" s="85">
        <f t="shared" si="6"/>
        <v>47</v>
      </c>
      <c r="G25" s="85">
        <f t="shared" si="7"/>
        <v>55</v>
      </c>
      <c r="H25" s="553" t="str">
        <f t="shared" si="8"/>
        <v>- -</v>
      </c>
      <c r="I25" s="554">
        <f t="shared" si="9"/>
        <v>2</v>
      </c>
      <c r="J25" s="554">
        <f t="shared" si="10"/>
        <v>2</v>
      </c>
      <c r="K25" s="362"/>
      <c r="L25" s="362"/>
      <c r="M25" s="362"/>
      <c r="N25" s="362"/>
      <c r="O25" s="362"/>
      <c r="P25" s="362"/>
      <c r="Q25" s="362"/>
      <c r="R25" s="9"/>
      <c r="S25" s="362"/>
    </row>
    <row r="26" spans="1:28">
      <c r="A26" s="450" t="str">
        <f t="shared" si="0"/>
        <v>- -</v>
      </c>
      <c r="B26" s="450"/>
      <c r="C26" s="450" t="s">
        <v>56</v>
      </c>
      <c r="D26" s="90" t="s">
        <v>57</v>
      </c>
      <c r="E26" s="552" t="str">
        <f t="shared" si="5"/>
        <v>◄ ◄ ◄ ◄ Ne peut sauter une journée</v>
      </c>
      <c r="F26" s="85">
        <f t="shared" si="6"/>
        <v>28</v>
      </c>
      <c r="G26" s="85">
        <f t="shared" si="7"/>
        <v>34</v>
      </c>
      <c r="H26" s="553" t="str">
        <f t="shared" si="8"/>
        <v>- -</v>
      </c>
      <c r="I26" s="554">
        <f t="shared" si="9"/>
        <v>0</v>
      </c>
      <c r="J26" s="554">
        <f t="shared" si="10"/>
        <v>0</v>
      </c>
      <c r="K26" s="362"/>
      <c r="L26" s="362"/>
      <c r="M26" s="362"/>
      <c r="N26" s="362"/>
      <c r="O26" s="362"/>
      <c r="P26" s="362"/>
      <c r="Q26" s="362"/>
      <c r="R26" s="9">
        <v>20</v>
      </c>
      <c r="S26" s="362"/>
    </row>
    <row r="27" spans="1:28">
      <c r="A27" s="450" t="str">
        <f t="shared" si="0"/>
        <v>- -</v>
      </c>
      <c r="B27" s="450"/>
      <c r="C27" s="450" t="s">
        <v>58</v>
      </c>
      <c r="D27" s="90" t="s">
        <v>59</v>
      </c>
      <c r="E27" s="552" t="str">
        <f t="shared" si="5"/>
        <v>Automobile 1</v>
      </c>
      <c r="F27" s="85">
        <f t="shared" si="6"/>
        <v>5</v>
      </c>
      <c r="G27" s="85">
        <f t="shared" si="7"/>
        <v>12</v>
      </c>
      <c r="H27" s="553" t="str">
        <f t="shared" si="8"/>
        <v>- -</v>
      </c>
      <c r="I27" s="554">
        <f t="shared" si="9"/>
        <v>0</v>
      </c>
      <c r="J27" s="554">
        <f t="shared" si="10"/>
        <v>0</v>
      </c>
      <c r="K27" s="362"/>
      <c r="L27" s="362"/>
      <c r="M27" s="362"/>
      <c r="N27" s="362"/>
      <c r="O27" s="362"/>
      <c r="P27" s="362"/>
      <c r="Q27" s="362"/>
      <c r="R27" s="9">
        <v>21</v>
      </c>
      <c r="S27" s="362"/>
    </row>
    <row r="28" spans="1:28">
      <c r="A28" s="450" t="str">
        <f t="shared" si="0"/>
        <v>- -</v>
      </c>
      <c r="B28" s="450"/>
      <c r="C28" s="450" t="s">
        <v>60</v>
      </c>
      <c r="D28" s="90" t="s">
        <v>61</v>
      </c>
      <c r="E28" s="552" t="str">
        <f t="shared" si="5"/>
        <v>Automobile 2</v>
      </c>
      <c r="F28" s="85">
        <f t="shared" si="6"/>
        <v>5</v>
      </c>
      <c r="G28" s="85">
        <f t="shared" si="7"/>
        <v>12</v>
      </c>
      <c r="H28" s="553" t="str">
        <f t="shared" si="8"/>
        <v>- -</v>
      </c>
      <c r="I28" s="554">
        <f t="shared" si="9"/>
        <v>0</v>
      </c>
      <c r="J28" s="554">
        <f t="shared" si="10"/>
        <v>0</v>
      </c>
      <c r="K28" s="362"/>
      <c r="L28" s="362"/>
      <c r="M28" s="362"/>
      <c r="N28" s="362"/>
      <c r="O28" s="362"/>
      <c r="P28" s="362"/>
      <c r="Q28" s="362"/>
      <c r="R28" s="9">
        <v>22</v>
      </c>
      <c r="S28" s="362"/>
    </row>
    <row r="29" spans="1:28" s="84" customFormat="1">
      <c r="A29" s="450" t="str">
        <f t="shared" si="0"/>
        <v>- -</v>
      </c>
      <c r="B29" s="450"/>
      <c r="C29" s="450" t="s">
        <v>62</v>
      </c>
      <c r="D29" s="90" t="s">
        <v>63</v>
      </c>
      <c r="E29" s="552" t="str">
        <f t="shared" si="5"/>
        <v>Automobile 3</v>
      </c>
      <c r="F29" s="85">
        <f t="shared" si="6"/>
        <v>5</v>
      </c>
      <c r="G29" s="85">
        <f t="shared" si="7"/>
        <v>12</v>
      </c>
      <c r="H29" s="553" t="str">
        <f t="shared" si="8"/>
        <v>- -</v>
      </c>
      <c r="I29" s="554">
        <f t="shared" si="9"/>
        <v>0</v>
      </c>
      <c r="J29" s="554">
        <f t="shared" si="10"/>
        <v>0</v>
      </c>
      <c r="K29" s="362"/>
      <c r="L29" s="362"/>
      <c r="M29" s="362"/>
      <c r="N29" s="362"/>
      <c r="O29" s="362"/>
      <c r="P29" s="362"/>
      <c r="Q29" s="362"/>
      <c r="R29" s="9">
        <v>23</v>
      </c>
      <c r="S29" s="362"/>
      <c r="T29"/>
      <c r="U29"/>
      <c r="V29"/>
      <c r="W29"/>
      <c r="X29"/>
      <c r="Y29"/>
      <c r="Z29"/>
      <c r="AA29"/>
      <c r="AB29"/>
    </row>
    <row r="30" spans="1:28">
      <c r="A30" s="450" t="str">
        <f t="shared" si="0"/>
        <v>- -</v>
      </c>
      <c r="B30" s="450"/>
      <c r="C30" s="450" t="s">
        <v>64</v>
      </c>
      <c r="D30" s="90" t="s">
        <v>65</v>
      </c>
      <c r="E30" s="552" t="str">
        <f t="shared" si="5"/>
        <v>Automobile 4</v>
      </c>
      <c r="F30" s="85">
        <f t="shared" si="6"/>
        <v>5</v>
      </c>
      <c r="G30" s="85">
        <f t="shared" si="7"/>
        <v>12</v>
      </c>
      <c r="H30" s="553" t="str">
        <f t="shared" si="8"/>
        <v>- -</v>
      </c>
      <c r="I30" s="554">
        <f t="shared" si="9"/>
        <v>0</v>
      </c>
      <c r="J30" s="554">
        <f t="shared" si="10"/>
        <v>0</v>
      </c>
      <c r="K30" s="362"/>
      <c r="L30" s="362"/>
      <c r="M30" s="362"/>
      <c r="N30" s="362"/>
      <c r="O30" s="362"/>
      <c r="P30" s="362"/>
      <c r="Q30" s="362"/>
      <c r="R30" s="9">
        <v>24</v>
      </c>
      <c r="S30" s="362"/>
    </row>
    <row r="31" spans="1:28">
      <c r="A31" s="450" t="str">
        <f t="shared" si="0"/>
        <v>- -</v>
      </c>
      <c r="B31" s="450"/>
      <c r="C31" s="450" t="s">
        <v>66</v>
      </c>
      <c r="D31" s="90" t="s">
        <v>67</v>
      </c>
      <c r="E31" s="552" t="str">
        <f t="shared" si="5"/>
        <v>Automobile 5</v>
      </c>
      <c r="F31" s="85">
        <f t="shared" si="6"/>
        <v>5</v>
      </c>
      <c r="G31" s="85">
        <f t="shared" si="7"/>
        <v>12</v>
      </c>
      <c r="H31" s="553" t="str">
        <f t="shared" si="8"/>
        <v>- -</v>
      </c>
      <c r="I31" s="554">
        <f t="shared" si="9"/>
        <v>0</v>
      </c>
      <c r="J31" s="554">
        <f t="shared" si="10"/>
        <v>0</v>
      </c>
      <c r="K31" s="362"/>
      <c r="L31" s="362"/>
      <c r="M31" s="362"/>
      <c r="N31" s="362"/>
      <c r="O31" s="362"/>
      <c r="P31" s="362"/>
      <c r="Q31" s="362"/>
      <c r="R31" s="9">
        <v>25</v>
      </c>
      <c r="S31" s="362"/>
    </row>
    <row r="32" spans="1:28">
      <c r="A32" s="450" t="str">
        <f t="shared" si="0"/>
        <v>- -</v>
      </c>
      <c r="B32" s="450"/>
      <c r="C32" s="450" t="s">
        <v>68</v>
      </c>
      <c r="D32" s="90" t="s">
        <v>69</v>
      </c>
      <c r="E32" s="552" t="str">
        <f t="shared" si="5"/>
        <v>Automobile 6</v>
      </c>
      <c r="F32" s="85">
        <f t="shared" si="6"/>
        <v>5</v>
      </c>
      <c r="G32" s="85">
        <f t="shared" si="7"/>
        <v>12</v>
      </c>
      <c r="H32" s="553" t="str">
        <f t="shared" si="8"/>
        <v>- -</v>
      </c>
      <c r="I32" s="554">
        <f t="shared" si="9"/>
        <v>0</v>
      </c>
      <c r="J32" s="554">
        <f t="shared" si="10"/>
        <v>0</v>
      </c>
      <c r="K32" s="362"/>
      <c r="L32" s="362"/>
      <c r="M32" s="362"/>
      <c r="N32" s="362"/>
      <c r="O32" s="362"/>
      <c r="P32" s="362"/>
      <c r="Q32" s="362"/>
      <c r="R32" s="9">
        <v>26</v>
      </c>
      <c r="S32" s="362"/>
    </row>
    <row r="33" spans="1:19">
      <c r="A33" s="450" t="str">
        <f t="shared" si="0"/>
        <v>- -</v>
      </c>
      <c r="B33" s="450"/>
      <c r="C33" s="450"/>
      <c r="D33" s="90"/>
      <c r="E33" s="552" t="str">
        <f t="shared" si="5"/>
        <v/>
      </c>
      <c r="F33" s="85">
        <f t="shared" si="6"/>
        <v>0</v>
      </c>
      <c r="G33" s="85">
        <f t="shared" si="7"/>
        <v>0</v>
      </c>
      <c r="H33" s="553" t="str">
        <f t="shared" si="8"/>
        <v>- -</v>
      </c>
      <c r="I33" s="554">
        <f t="shared" si="9"/>
        <v>0</v>
      </c>
      <c r="J33" s="554">
        <f t="shared" si="10"/>
        <v>0</v>
      </c>
      <c r="K33" s="362"/>
      <c r="L33" s="362"/>
      <c r="M33" s="362"/>
      <c r="N33" s="362"/>
      <c r="O33" s="362"/>
      <c r="P33" s="362"/>
      <c r="Q33" s="362"/>
      <c r="R33" s="9">
        <v>27</v>
      </c>
      <c r="S33" s="362"/>
    </row>
    <row r="34" spans="1:19" ht="26.4">
      <c r="A34" s="450" t="str">
        <f t="shared" si="0"/>
        <v>- -</v>
      </c>
      <c r="B34" s="450"/>
      <c r="C34" s="450" t="s">
        <v>70</v>
      </c>
      <c r="D34" s="90" t="s">
        <v>71</v>
      </c>
      <c r="E34" s="552" t="str">
        <f t="shared" si="5"/>
        <v>Journal de bord avantages et dépenses d'automobile</v>
      </c>
      <c r="F34" s="85">
        <f t="shared" si="6"/>
        <v>29</v>
      </c>
      <c r="G34" s="85">
        <f t="shared" si="7"/>
        <v>50</v>
      </c>
      <c r="H34" s="553" t="str">
        <f t="shared" si="8"/>
        <v>- -</v>
      </c>
      <c r="I34" s="554">
        <f t="shared" si="9"/>
        <v>0</v>
      </c>
      <c r="J34" s="554">
        <f t="shared" si="10"/>
        <v>0</v>
      </c>
      <c r="K34" s="362"/>
      <c r="L34" s="362"/>
      <c r="M34" s="362"/>
      <c r="N34" s="362"/>
      <c r="O34" s="362"/>
      <c r="P34" s="362"/>
      <c r="Q34" s="362"/>
      <c r="R34" s="9">
        <v>28</v>
      </c>
      <c r="S34" s="362"/>
    </row>
    <row r="35" spans="1:19" ht="26.4">
      <c r="A35" s="450" t="str">
        <f t="shared" si="0"/>
        <v>- -</v>
      </c>
      <c r="B35" s="450"/>
      <c r="C35" s="450" t="s">
        <v>72</v>
      </c>
      <c r="D35" s="90" t="s">
        <v>73</v>
      </c>
      <c r="E35" s="552" t="str">
        <f t="shared" si="5"/>
        <v>Journal de bord avantages et dépenses d'automobile - Sommaire annuel</v>
      </c>
      <c r="F35" s="85">
        <f t="shared" si="6"/>
        <v>46</v>
      </c>
      <c r="G35" s="85">
        <f t="shared" si="7"/>
        <v>68</v>
      </c>
      <c r="H35" s="553" t="str">
        <f t="shared" si="8"/>
        <v>- -</v>
      </c>
      <c r="I35" s="554">
        <f t="shared" si="9"/>
        <v>0</v>
      </c>
      <c r="J35" s="554">
        <f t="shared" si="10"/>
        <v>0</v>
      </c>
      <c r="K35" s="362"/>
      <c r="L35" s="362"/>
      <c r="M35" s="362"/>
      <c r="N35" s="362"/>
      <c r="O35" s="362"/>
      <c r="P35" s="362"/>
      <c r="Q35" s="362"/>
      <c r="R35" s="9">
        <v>29</v>
      </c>
      <c r="S35" s="362"/>
    </row>
    <row r="36" spans="1:19">
      <c r="A36" s="450" t="str">
        <f t="shared" si="0"/>
        <v>- -</v>
      </c>
      <c r="B36" s="450"/>
      <c r="C36" s="450" t="s">
        <v>74</v>
      </c>
      <c r="D36" s="90" t="s">
        <v>75</v>
      </c>
      <c r="E36" s="552" t="str">
        <f t="shared" si="5"/>
        <v>Automobiles utilisées*</v>
      </c>
      <c r="F36" s="85">
        <f t="shared" si="6"/>
        <v>10</v>
      </c>
      <c r="G36" s="85">
        <f t="shared" si="7"/>
        <v>22</v>
      </c>
      <c r="H36" s="553" t="str">
        <f t="shared" si="8"/>
        <v>- -</v>
      </c>
      <c r="I36" s="554">
        <f t="shared" si="9"/>
        <v>0</v>
      </c>
      <c r="J36" s="554">
        <f t="shared" si="10"/>
        <v>0</v>
      </c>
      <c r="K36" s="362"/>
      <c r="L36" s="362"/>
      <c r="M36" s="362"/>
      <c r="N36" s="362"/>
      <c r="O36" s="362"/>
      <c r="P36" s="362"/>
      <c r="Q36" s="362"/>
      <c r="R36" s="9">
        <v>30</v>
      </c>
      <c r="S36" s="362"/>
    </row>
    <row r="37" spans="1:19">
      <c r="A37" s="450" t="str">
        <f t="shared" si="0"/>
        <v>- -</v>
      </c>
      <c r="B37" s="450"/>
      <c r="C37" s="450" t="s">
        <v>76</v>
      </c>
      <c r="D37" s="90" t="s">
        <v>77</v>
      </c>
      <c r="E37" s="552" t="str">
        <f t="shared" si="5"/>
        <v>Vérifier</v>
      </c>
      <c r="F37" s="85">
        <f t="shared" si="6"/>
        <v>5</v>
      </c>
      <c r="G37" s="85">
        <f t="shared" si="7"/>
        <v>8</v>
      </c>
      <c r="H37" s="553" t="str">
        <f t="shared" si="8"/>
        <v>- -</v>
      </c>
      <c r="I37" s="554">
        <f t="shared" si="9"/>
        <v>0</v>
      </c>
      <c r="J37" s="554">
        <f t="shared" si="10"/>
        <v>0</v>
      </c>
      <c r="K37" s="362"/>
      <c r="L37" s="362"/>
      <c r="M37" s="362"/>
      <c r="N37" s="362"/>
      <c r="O37" s="362"/>
      <c r="P37" s="362"/>
      <c r="Q37" s="362"/>
      <c r="R37" s="9">
        <v>31</v>
      </c>
      <c r="S37" s="362"/>
    </row>
    <row r="38" spans="1:19">
      <c r="A38" s="450" t="str">
        <f t="shared" si="0"/>
        <v>- -</v>
      </c>
      <c r="B38" s="450"/>
      <c r="C38" s="87" t="s">
        <v>78</v>
      </c>
      <c r="D38" s="90" t="s">
        <v>79</v>
      </c>
      <c r="E38" s="552" t="str">
        <f t="shared" si="5"/>
        <v>Vérifier les cellules foncées</v>
      </c>
      <c r="F38" s="85">
        <f t="shared" si="6"/>
        <v>18</v>
      </c>
      <c r="G38" s="85">
        <f t="shared" si="7"/>
        <v>29</v>
      </c>
      <c r="H38" s="553" t="str">
        <f t="shared" si="8"/>
        <v>- -</v>
      </c>
      <c r="I38" s="554">
        <f t="shared" si="9"/>
        <v>0</v>
      </c>
      <c r="J38" s="554">
        <f t="shared" si="10"/>
        <v>0</v>
      </c>
      <c r="K38" s="362"/>
      <c r="L38" s="362"/>
      <c r="M38" s="362"/>
      <c r="N38" s="362"/>
      <c r="O38" s="362"/>
      <c r="P38" s="362"/>
      <c r="Q38" s="362"/>
      <c r="R38" s="9">
        <v>32</v>
      </c>
      <c r="S38" s="362"/>
    </row>
    <row r="39" spans="1:19">
      <c r="A39" s="450" t="str">
        <f t="shared" si="0"/>
        <v>- -</v>
      </c>
      <c r="B39" s="450"/>
      <c r="C39" s="87" t="s">
        <v>80</v>
      </c>
      <c r="D39" s="90" t="s">
        <v>81</v>
      </c>
      <c r="E39" s="552" t="str">
        <f t="shared" si="5"/>
        <v>Vérifier FIN</v>
      </c>
      <c r="F39" s="85">
        <f t="shared" si="6"/>
        <v>9</v>
      </c>
      <c r="G39" s="85">
        <f t="shared" si="7"/>
        <v>12</v>
      </c>
      <c r="H39" s="553" t="str">
        <f t="shared" si="8"/>
        <v>- -</v>
      </c>
      <c r="I39" s="554">
        <f t="shared" si="9"/>
        <v>0</v>
      </c>
      <c r="J39" s="554">
        <f t="shared" si="10"/>
        <v>0</v>
      </c>
      <c r="K39" s="362"/>
      <c r="L39" s="362"/>
      <c r="M39" s="362"/>
      <c r="N39" s="362"/>
      <c r="O39" s="362"/>
      <c r="P39" s="362"/>
      <c r="Q39" s="362"/>
      <c r="R39" s="9">
        <v>33</v>
      </c>
      <c r="S39" s="362"/>
    </row>
    <row r="40" spans="1:19">
      <c r="A40" s="450" t="str">
        <f t="shared" si="0"/>
        <v>- -</v>
      </c>
      <c r="B40" s="450"/>
      <c r="C40" s="87" t="s">
        <v>82</v>
      </c>
      <c r="D40" s="90" t="s">
        <v>83</v>
      </c>
      <c r="E40" s="552" t="str">
        <f t="shared" si="5"/>
        <v>Vérifier chaque entrée du km début et fin</v>
      </c>
      <c r="F40" s="85">
        <f t="shared" si="6"/>
        <v>42</v>
      </c>
      <c r="G40" s="85">
        <f t="shared" si="7"/>
        <v>41</v>
      </c>
      <c r="H40" s="553" t="str">
        <f t="shared" si="8"/>
        <v>- -</v>
      </c>
      <c r="I40" s="554">
        <f t="shared" si="9"/>
        <v>0</v>
      </c>
      <c r="J40" s="554">
        <f t="shared" si="10"/>
        <v>0</v>
      </c>
      <c r="K40" s="362"/>
      <c r="L40" s="362"/>
      <c r="M40" s="362"/>
      <c r="N40" s="362"/>
      <c r="O40" s="362"/>
      <c r="P40" s="362"/>
      <c r="Q40" s="362"/>
      <c r="R40" s="9">
        <v>34</v>
      </c>
      <c r="S40" s="362"/>
    </row>
    <row r="41" spans="1:19">
      <c r="A41" s="450" t="str">
        <f t="shared" si="0"/>
        <v>- -</v>
      </c>
      <c r="B41" s="450"/>
      <c r="C41" s="450" t="s">
        <v>84</v>
      </c>
      <c r="D41" s="90" t="s">
        <v>85</v>
      </c>
      <c r="E41" s="552" t="str">
        <f t="shared" si="5"/>
        <v>Vérifier début</v>
      </c>
      <c r="F41" s="85">
        <f t="shared" si="6"/>
        <v>11</v>
      </c>
      <c r="G41" s="85">
        <f t="shared" si="7"/>
        <v>14</v>
      </c>
      <c r="H41" s="553" t="str">
        <f t="shared" si="8"/>
        <v>- -</v>
      </c>
      <c r="I41" s="554">
        <f t="shared" si="9"/>
        <v>0</v>
      </c>
      <c r="J41" s="554">
        <f t="shared" si="10"/>
        <v>0</v>
      </c>
      <c r="K41" s="362"/>
      <c r="L41" s="362"/>
      <c r="M41" s="362"/>
      <c r="N41" s="362"/>
      <c r="O41" s="362"/>
      <c r="P41" s="362"/>
      <c r="Q41" s="362"/>
      <c r="R41" s="9">
        <v>35</v>
      </c>
      <c r="S41" s="362"/>
    </row>
    <row r="42" spans="1:19">
      <c r="A42" s="450" t="str">
        <f t="shared" si="0"/>
        <v>- -</v>
      </c>
      <c r="B42" s="450"/>
      <c r="C42" s="450" t="s">
        <v>86</v>
      </c>
      <c r="D42" s="90" t="s">
        <v>87</v>
      </c>
      <c r="E42" s="552" t="str">
        <f t="shared" si="5"/>
        <v>Vérifier DÉBUT</v>
      </c>
      <c r="F42" s="85">
        <f t="shared" si="6"/>
        <v>11</v>
      </c>
      <c r="G42" s="85">
        <f t="shared" si="7"/>
        <v>14</v>
      </c>
      <c r="H42" s="553" t="str">
        <f t="shared" si="8"/>
        <v>- -</v>
      </c>
      <c r="I42" s="554">
        <f t="shared" si="9"/>
        <v>0</v>
      </c>
      <c r="J42" s="554">
        <f t="shared" si="10"/>
        <v>0</v>
      </c>
      <c r="K42" s="362"/>
      <c r="L42" s="362"/>
      <c r="M42" s="362"/>
      <c r="N42" s="362"/>
      <c r="O42" s="362"/>
      <c r="P42" s="362"/>
      <c r="Q42" s="362"/>
      <c r="R42" s="9">
        <v>36</v>
      </c>
      <c r="S42" s="362"/>
    </row>
    <row r="43" spans="1:19" ht="39.6">
      <c r="A43" s="450" t="str">
        <f t="shared" si="0"/>
        <v>- -</v>
      </c>
      <c r="B43" s="450"/>
      <c r="C43" s="396" t="s">
        <v>88</v>
      </c>
      <c r="D43" s="397"/>
      <c r="E43" s="552" t="str">
        <f t="shared" si="5"/>
        <v/>
      </c>
      <c r="F43" s="85">
        <f t="shared" si="6"/>
        <v>75</v>
      </c>
      <c r="G43" s="85">
        <f t="shared" si="7"/>
        <v>0</v>
      </c>
      <c r="H43" s="553" t="str">
        <f t="shared" si="8"/>
        <v>- -</v>
      </c>
      <c r="I43" s="554">
        <f t="shared" si="9"/>
        <v>0</v>
      </c>
      <c r="J43" s="554">
        <f t="shared" si="10"/>
        <v>0</v>
      </c>
      <c r="K43" s="362"/>
      <c r="L43" s="362"/>
      <c r="M43" s="362"/>
      <c r="N43" s="362"/>
      <c r="O43" s="362"/>
      <c r="P43" s="362"/>
      <c r="Q43" s="362"/>
      <c r="R43" s="9">
        <v>37</v>
      </c>
      <c r="S43" s="362"/>
    </row>
    <row r="44" spans="1:19" ht="26.4">
      <c r="A44" s="450" t="str">
        <f t="shared" si="0"/>
        <v>- -</v>
      </c>
      <c r="B44" s="450"/>
      <c r="C44" s="450" t="s">
        <v>89</v>
      </c>
      <c r="D44" s="90" t="s">
        <v>90</v>
      </c>
      <c r="E44" s="552" t="str">
        <f t="shared" si="5"/>
        <v>Comparer la fin avec la lecture la plus élevée du mois</v>
      </c>
      <c r="F44" s="85">
        <f t="shared" si="6"/>
        <v>47</v>
      </c>
      <c r="G44" s="85">
        <f t="shared" si="7"/>
        <v>54</v>
      </c>
      <c r="H44" s="553" t="str">
        <f t="shared" si="8"/>
        <v>- -</v>
      </c>
      <c r="I44" s="554">
        <f t="shared" si="9"/>
        <v>0</v>
      </c>
      <c r="J44" s="554">
        <f t="shared" si="10"/>
        <v>0</v>
      </c>
      <c r="K44" s="362"/>
      <c r="L44" s="362"/>
      <c r="M44" s="362"/>
      <c r="N44" s="362"/>
      <c r="O44" s="362"/>
      <c r="P44" s="362"/>
      <c r="Q44" s="362"/>
      <c r="R44" s="9">
        <v>38</v>
      </c>
      <c r="S44" s="362"/>
    </row>
    <row r="45" spans="1:19" ht="26.4">
      <c r="A45" s="450" t="str">
        <f t="shared" si="0"/>
        <v>- -</v>
      </c>
      <c r="B45" s="450"/>
      <c r="C45" s="450" t="s">
        <v>91</v>
      </c>
      <c r="D45" s="470" t="s">
        <v>92</v>
      </c>
      <c r="E45" s="552" t="str">
        <f t="shared" si="5"/>
        <v>Problèmes courants du compteur de km - diagnostics (de détection des erreurs)</v>
      </c>
      <c r="F45" s="85">
        <f t="shared" si="6"/>
        <v>66</v>
      </c>
      <c r="G45" s="85">
        <f t="shared" si="7"/>
        <v>77</v>
      </c>
      <c r="H45" s="553" t="str">
        <f t="shared" si="8"/>
        <v>- -</v>
      </c>
      <c r="I45" s="554">
        <f t="shared" si="9"/>
        <v>0</v>
      </c>
      <c r="J45" s="554">
        <f t="shared" si="10"/>
        <v>0</v>
      </c>
      <c r="K45" s="362"/>
      <c r="L45" s="362"/>
      <c r="M45" s="362"/>
      <c r="N45" s="362"/>
      <c r="O45" s="362"/>
      <c r="P45" s="362"/>
      <c r="Q45" s="362"/>
      <c r="R45" s="9">
        <v>39</v>
      </c>
      <c r="S45" s="362"/>
    </row>
    <row r="46" spans="1:19" ht="26.4">
      <c r="A46" s="450" t="str">
        <f t="shared" si="0"/>
        <v>- -</v>
      </c>
      <c r="B46" s="450"/>
      <c r="C46" s="450" t="s">
        <v>93</v>
      </c>
      <c r="D46" s="90" t="s">
        <v>94</v>
      </c>
      <c r="E46" s="552" t="str">
        <f t="shared" si="5"/>
        <v>Remplir ce sommaire à la fin de chaque mois :</v>
      </c>
      <c r="F46" s="85">
        <f t="shared" si="6"/>
        <v>47</v>
      </c>
      <c r="G46" s="85">
        <f t="shared" si="7"/>
        <v>45</v>
      </c>
      <c r="H46" s="553" t="str">
        <f t="shared" si="8"/>
        <v>- -</v>
      </c>
      <c r="I46" s="554">
        <f t="shared" si="9"/>
        <v>0</v>
      </c>
      <c r="J46" s="554">
        <f t="shared" si="10"/>
        <v>0</v>
      </c>
      <c r="K46" s="362"/>
      <c r="L46" s="362"/>
      <c r="M46" s="362"/>
      <c r="N46" s="362"/>
      <c r="O46" s="362"/>
      <c r="P46" s="362"/>
      <c r="Q46" s="362"/>
      <c r="R46" s="9">
        <v>40</v>
      </c>
      <c r="S46" s="362"/>
    </row>
    <row r="47" spans="1:19" ht="66">
      <c r="A47" s="450" t="str">
        <f>IF(LEN(C47)-LEN(TRIM(C47))&gt;0,"May begin or end with a blank space","- -")</f>
        <v>- -</v>
      </c>
      <c r="B47" s="450"/>
      <c r="C47" s="450" t="s">
        <v>95</v>
      </c>
      <c r="D47" s="90" t="s">
        <v>96</v>
      </c>
      <c r="E47" s="552" t="str">
        <f t="shared" si="5"/>
        <v>* Inscrire ici le nombre de véhicules utilisés. Par exemple, si on emprunte la voiture 1, que l'on passe à la voiture 2 puis qu'on utilise ensuite la voiture 3, on doit indiquer 3 dans la cellule.</v>
      </c>
      <c r="F47" s="85">
        <f t="shared" si="6"/>
        <v>129</v>
      </c>
      <c r="G47" s="85">
        <f t="shared" si="7"/>
        <v>196</v>
      </c>
      <c r="H47" s="553" t="str">
        <f t="shared" si="8"/>
        <v>- -</v>
      </c>
      <c r="I47" s="554">
        <f t="shared" si="9"/>
        <v>0</v>
      </c>
      <c r="J47" s="554">
        <f t="shared" si="10"/>
        <v>0</v>
      </c>
      <c r="K47" s="362"/>
      <c r="L47" s="362"/>
      <c r="M47" s="362"/>
      <c r="N47" s="362"/>
      <c r="O47" s="362"/>
      <c r="P47" s="362"/>
      <c r="Q47" s="362"/>
      <c r="R47" s="9">
        <v>40</v>
      </c>
      <c r="S47" s="362"/>
    </row>
    <row r="48" spans="1:19">
      <c r="A48" s="450" t="str">
        <f t="shared" si="0"/>
        <v>- -</v>
      </c>
      <c r="B48" s="450"/>
      <c r="C48" s="450" t="s">
        <v>97</v>
      </c>
      <c r="D48" s="90" t="s">
        <v>98</v>
      </c>
      <c r="E48" s="552" t="str">
        <f t="shared" si="5"/>
        <v>Date (jj)</v>
      </c>
      <c r="F48" s="85">
        <f t="shared" si="6"/>
        <v>9</v>
      </c>
      <c r="G48" s="85">
        <f t="shared" si="7"/>
        <v>9</v>
      </c>
      <c r="H48" s="553" t="str">
        <f t="shared" si="8"/>
        <v>- -</v>
      </c>
      <c r="I48" s="554">
        <f t="shared" si="9"/>
        <v>0</v>
      </c>
      <c r="J48" s="554">
        <f t="shared" si="10"/>
        <v>0</v>
      </c>
      <c r="K48" s="450"/>
      <c r="L48" s="450"/>
      <c r="M48" s="450"/>
      <c r="N48" s="450"/>
      <c r="O48" s="450"/>
      <c r="P48" s="450"/>
      <c r="Q48" s="450"/>
      <c r="R48" s="450"/>
      <c r="S48" s="450"/>
    </row>
    <row r="49" spans="1:26">
      <c r="A49" s="450" t="str">
        <f t="shared" si="0"/>
        <v>- -</v>
      </c>
      <c r="B49" s="450"/>
      <c r="C49" s="450" t="s">
        <v>99</v>
      </c>
      <c r="D49" s="90" t="s">
        <v>100</v>
      </c>
      <c r="E49" s="552" t="str">
        <f t="shared" si="5"/>
        <v>Jour</v>
      </c>
      <c r="F49" s="85">
        <f t="shared" si="6"/>
        <v>3</v>
      </c>
      <c r="G49" s="85">
        <f t="shared" si="7"/>
        <v>4</v>
      </c>
      <c r="H49" s="553" t="str">
        <f t="shared" si="8"/>
        <v>- -</v>
      </c>
      <c r="I49" s="554">
        <f t="shared" si="9"/>
        <v>0</v>
      </c>
      <c r="J49" s="554">
        <f t="shared" si="10"/>
        <v>0</v>
      </c>
      <c r="K49" s="362"/>
      <c r="L49" s="362"/>
      <c r="M49" s="362"/>
      <c r="N49" s="362"/>
      <c r="O49" s="362"/>
      <c r="P49" s="362"/>
      <c r="Q49" s="362"/>
      <c r="R49" s="9">
        <v>41</v>
      </c>
      <c r="S49" s="362"/>
    </row>
    <row r="50" spans="1:26">
      <c r="A50" s="450" t="str">
        <f t="shared" si="0"/>
        <v>- -</v>
      </c>
      <c r="B50" s="450"/>
      <c r="C50" s="450" t="s">
        <v>101</v>
      </c>
      <c r="D50" s="470" t="s">
        <v>102</v>
      </c>
      <c r="E50" s="552" t="str">
        <f t="shared" si="5"/>
        <v>◄ ◄ ◄ ◄ Jours non ordonnés</v>
      </c>
      <c r="F50" s="85">
        <f t="shared" si="6"/>
        <v>28</v>
      </c>
      <c r="G50" s="85">
        <f t="shared" si="7"/>
        <v>26</v>
      </c>
      <c r="H50" s="553" t="str">
        <f t="shared" si="8"/>
        <v>- -</v>
      </c>
      <c r="I50" s="554">
        <f t="shared" si="9"/>
        <v>0</v>
      </c>
      <c r="J50" s="554">
        <f t="shared" si="10"/>
        <v>0</v>
      </c>
      <c r="K50" s="362"/>
      <c r="L50" s="362"/>
      <c r="M50" s="362"/>
      <c r="N50" s="362"/>
      <c r="O50" s="362"/>
      <c r="P50" s="362"/>
      <c r="Q50" s="362"/>
      <c r="R50" s="9">
        <v>43</v>
      </c>
      <c r="S50" s="362"/>
    </row>
    <row r="51" spans="1:26" ht="26.4">
      <c r="A51" s="450" t="str">
        <f t="shared" si="0"/>
        <v>- -</v>
      </c>
      <c r="B51" s="450"/>
      <c r="C51" s="450" t="s">
        <v>103</v>
      </c>
      <c r="D51" s="90" t="s">
        <v>104</v>
      </c>
      <c r="E51" s="552" t="str">
        <f t="shared" si="5"/>
        <v>Jours de disponibilité du véhicule dans le mois pour affaires ou à des fins personnelles</v>
      </c>
      <c r="F51" s="85">
        <f t="shared" si="6"/>
        <v>63</v>
      </c>
      <c r="G51" s="85">
        <f t="shared" si="7"/>
        <v>88</v>
      </c>
      <c r="H51" s="553" t="str">
        <f t="shared" si="8"/>
        <v>- -</v>
      </c>
      <c r="I51" s="554">
        <f t="shared" si="9"/>
        <v>0</v>
      </c>
      <c r="J51" s="554">
        <f t="shared" si="10"/>
        <v>0</v>
      </c>
      <c r="K51" s="362"/>
      <c r="L51" s="362"/>
      <c r="M51" s="362"/>
      <c r="N51" s="362"/>
      <c r="O51" s="362"/>
      <c r="P51" s="362"/>
      <c r="Q51" s="362"/>
      <c r="R51" s="9">
        <v>44</v>
      </c>
      <c r="S51" s="362"/>
    </row>
    <row r="52" spans="1:26">
      <c r="A52" s="450" t="str">
        <f t="shared" si="0"/>
        <v>- -</v>
      </c>
      <c r="B52" s="450"/>
      <c r="C52" s="450" t="s">
        <v>105</v>
      </c>
      <c r="D52" s="90" t="s">
        <v>106</v>
      </c>
      <c r="E52" s="552" t="str">
        <f t="shared" si="5"/>
        <v>Jours de disponibilité du véhicule</v>
      </c>
      <c r="F52" s="85">
        <f t="shared" si="6"/>
        <v>25</v>
      </c>
      <c r="G52" s="85">
        <f t="shared" si="7"/>
        <v>34</v>
      </c>
      <c r="H52" s="553" t="str">
        <f t="shared" si="8"/>
        <v>- -</v>
      </c>
      <c r="I52" s="554">
        <f t="shared" si="9"/>
        <v>0</v>
      </c>
      <c r="J52" s="554">
        <f t="shared" si="10"/>
        <v>0</v>
      </c>
      <c r="K52" s="362"/>
      <c r="L52" s="362"/>
      <c r="M52" s="362"/>
      <c r="N52" s="362"/>
      <c r="O52" s="362"/>
      <c r="P52" s="362"/>
      <c r="Q52" s="362"/>
      <c r="R52" s="9">
        <v>45</v>
      </c>
      <c r="S52" s="362"/>
    </row>
    <row r="53" spans="1:26" ht="26.4">
      <c r="A53" s="450" t="str">
        <f t="shared" si="0"/>
        <v>- -</v>
      </c>
      <c r="B53" s="450"/>
      <c r="C53" s="450" t="s">
        <v>107</v>
      </c>
      <c r="D53" s="90" t="s">
        <v>108</v>
      </c>
      <c r="E53" s="552" t="str">
        <f t="shared" si="5"/>
        <v>Jours de disponibilité du véhicule à des fins personnelles</v>
      </c>
      <c r="F53" s="85">
        <f t="shared" si="6"/>
        <v>42</v>
      </c>
      <c r="G53" s="85">
        <f t="shared" si="7"/>
        <v>58</v>
      </c>
      <c r="H53" s="553" t="str">
        <f t="shared" si="8"/>
        <v>- -</v>
      </c>
      <c r="I53" s="554">
        <f t="shared" si="9"/>
        <v>0</v>
      </c>
      <c r="J53" s="554">
        <f t="shared" si="10"/>
        <v>0</v>
      </c>
      <c r="K53" s="362"/>
      <c r="L53" s="362"/>
      <c r="M53" s="362"/>
      <c r="N53" s="362"/>
      <c r="O53" s="362"/>
      <c r="P53" s="362"/>
      <c r="Q53" s="362"/>
      <c r="R53" s="9">
        <v>46</v>
      </c>
      <c r="S53" s="362"/>
    </row>
    <row r="54" spans="1:26" ht="26.4">
      <c r="A54" s="450" t="str">
        <f t="shared" si="0"/>
        <v>- -</v>
      </c>
      <c r="B54" s="450"/>
      <c r="C54" s="450" t="s">
        <v>109</v>
      </c>
      <c r="D54" s="90" t="s">
        <v>110</v>
      </c>
      <c r="E54" s="552" t="str">
        <f t="shared" si="5"/>
        <v>Jours de disponibilité du véhicule pour affaires</v>
      </c>
      <c r="F54" s="85">
        <f t="shared" si="6"/>
        <v>41</v>
      </c>
      <c r="G54" s="85">
        <f t="shared" si="7"/>
        <v>48</v>
      </c>
      <c r="H54" s="553" t="str">
        <f t="shared" si="8"/>
        <v>- -</v>
      </c>
      <c r="I54" s="554">
        <f t="shared" si="9"/>
        <v>0</v>
      </c>
      <c r="J54" s="554">
        <f t="shared" si="10"/>
        <v>0</v>
      </c>
      <c r="K54" s="362"/>
      <c r="L54" s="362"/>
      <c r="M54" s="362"/>
      <c r="N54" s="362"/>
      <c r="O54" s="362"/>
      <c r="P54" s="362"/>
      <c r="Q54" s="362"/>
      <c r="R54" s="9">
        <v>47</v>
      </c>
      <c r="S54" s="362"/>
    </row>
    <row r="55" spans="1:26">
      <c r="A55" s="450" t="str">
        <f t="shared" si="0"/>
        <v>- -</v>
      </c>
      <c r="B55" s="450"/>
      <c r="C55" s="450"/>
      <c r="D55" s="90"/>
      <c r="E55" s="552" t="str">
        <f t="shared" si="5"/>
        <v/>
      </c>
      <c r="F55" s="85">
        <f t="shared" si="6"/>
        <v>0</v>
      </c>
      <c r="G55" s="85">
        <f t="shared" si="7"/>
        <v>0</v>
      </c>
      <c r="H55" s="553" t="str">
        <f t="shared" si="8"/>
        <v>- -</v>
      </c>
      <c r="I55" s="554">
        <f t="shared" si="9"/>
        <v>0</v>
      </c>
      <c r="J55" s="554">
        <f t="shared" si="10"/>
        <v>0</v>
      </c>
      <c r="K55" s="362"/>
      <c r="L55" s="362"/>
      <c r="M55" s="362"/>
      <c r="N55" s="362"/>
      <c r="O55" s="362"/>
      <c r="P55" s="362"/>
      <c r="Q55" s="362"/>
      <c r="R55" s="9">
        <v>48</v>
      </c>
      <c r="S55" s="362"/>
    </row>
    <row r="56" spans="1:26" ht="26.4">
      <c r="A56" s="450" t="str">
        <f t="shared" si="0"/>
        <v>- -</v>
      </c>
      <c r="B56" s="450"/>
      <c r="C56" s="450" t="s">
        <v>111</v>
      </c>
      <c r="D56" s="90" t="s">
        <v>112</v>
      </c>
      <c r="E56" s="552" t="str">
        <f t="shared" si="5"/>
        <v>Point de
départ</v>
      </c>
      <c r="F56" s="85">
        <f t="shared" si="6"/>
        <v>15</v>
      </c>
      <c r="G56" s="85">
        <f t="shared" si="7"/>
        <v>15</v>
      </c>
      <c r="H56" s="553" t="str">
        <f t="shared" si="8"/>
        <v>- -</v>
      </c>
      <c r="I56" s="554">
        <f t="shared" si="9"/>
        <v>0</v>
      </c>
      <c r="J56" s="554">
        <f t="shared" si="10"/>
        <v>0</v>
      </c>
      <c r="K56" s="362"/>
      <c r="L56" s="362"/>
      <c r="M56" s="362"/>
      <c r="N56" s="362"/>
      <c r="O56" s="362"/>
      <c r="P56" s="362"/>
      <c r="Q56" s="362"/>
      <c r="R56" s="9">
        <v>49</v>
      </c>
      <c r="S56" s="362"/>
      <c r="Z56" s="504"/>
    </row>
    <row r="57" spans="1:26">
      <c r="A57" s="450" t="str">
        <f t="shared" si="0"/>
        <v>- -</v>
      </c>
      <c r="B57" s="450"/>
      <c r="C57" s="450" t="s">
        <v>113</v>
      </c>
      <c r="D57" s="90" t="s">
        <v>113</v>
      </c>
      <c r="E57" s="552" t="str">
        <f t="shared" si="5"/>
        <v>Destination</v>
      </c>
      <c r="F57" s="85">
        <f t="shared" si="6"/>
        <v>11</v>
      </c>
      <c r="G57" s="85">
        <f t="shared" si="7"/>
        <v>11</v>
      </c>
      <c r="H57" s="553" t="str">
        <f t="shared" si="8"/>
        <v>- -</v>
      </c>
      <c r="I57" s="554">
        <f t="shared" si="9"/>
        <v>0</v>
      </c>
      <c r="J57" s="554">
        <f t="shared" si="10"/>
        <v>0</v>
      </c>
      <c r="K57" s="362"/>
      <c r="L57" s="362"/>
      <c r="M57" s="362"/>
      <c r="N57" s="362"/>
      <c r="O57" s="362"/>
      <c r="P57" s="362"/>
      <c r="Q57" s="362"/>
      <c r="R57" s="9">
        <v>50</v>
      </c>
      <c r="S57" s="362"/>
    </row>
    <row r="58" spans="1:26">
      <c r="A58" s="450" t="str">
        <f t="shared" si="0"/>
        <v>- -</v>
      </c>
      <c r="B58" s="450"/>
      <c r="C58" s="450" t="s">
        <v>114</v>
      </c>
      <c r="D58" s="90" t="s">
        <v>115</v>
      </c>
      <c r="E58" s="552" t="str">
        <f t="shared" si="5"/>
        <v>Parcouru</v>
      </c>
      <c r="F58" s="85">
        <f t="shared" si="6"/>
        <v>6</v>
      </c>
      <c r="G58" s="85">
        <f t="shared" si="7"/>
        <v>8</v>
      </c>
      <c r="H58" s="553" t="str">
        <f t="shared" si="8"/>
        <v>- -</v>
      </c>
      <c r="I58" s="554">
        <f t="shared" si="9"/>
        <v>0</v>
      </c>
      <c r="J58" s="554">
        <f t="shared" si="10"/>
        <v>0</v>
      </c>
      <c r="K58" s="362"/>
      <c r="L58" s="362"/>
      <c r="M58" s="362"/>
      <c r="N58" s="362"/>
      <c r="O58" s="362"/>
      <c r="P58" s="362"/>
      <c r="Q58" s="362"/>
      <c r="R58" s="9">
        <v>51</v>
      </c>
      <c r="S58" s="362"/>
    </row>
    <row r="59" spans="1:26">
      <c r="A59" s="450" t="str">
        <f t="shared" si="0"/>
        <v>- -</v>
      </c>
      <c r="B59" s="450"/>
      <c r="C59" s="450" t="s">
        <v>116</v>
      </c>
      <c r="D59" s="90" t="s">
        <v>117</v>
      </c>
      <c r="E59" s="552" t="str">
        <f t="shared" si="5"/>
        <v>Fin</v>
      </c>
      <c r="F59" s="85">
        <f t="shared" si="6"/>
        <v>3</v>
      </c>
      <c r="G59" s="85">
        <f t="shared" si="7"/>
        <v>3</v>
      </c>
      <c r="H59" s="553" t="str">
        <f t="shared" si="8"/>
        <v>- -</v>
      </c>
      <c r="I59" s="554">
        <f t="shared" si="9"/>
        <v>0</v>
      </c>
      <c r="J59" s="554">
        <f t="shared" si="10"/>
        <v>0</v>
      </c>
      <c r="K59" s="362"/>
      <c r="L59" s="362"/>
      <c r="M59" s="362"/>
      <c r="N59" s="362"/>
      <c r="O59" s="362"/>
      <c r="P59" s="362"/>
      <c r="Q59" s="362"/>
      <c r="R59" s="9">
        <v>52</v>
      </c>
      <c r="S59" s="362"/>
    </row>
    <row r="60" spans="1:26" ht="52.8">
      <c r="A60" s="450" t="str">
        <f t="shared" si="0"/>
        <v>- -</v>
      </c>
      <c r="B60" s="450"/>
      <c r="C60" s="450" t="s">
        <v>118</v>
      </c>
      <c r="D60" s="90" t="s">
        <v>119</v>
      </c>
      <c r="E60" s="552" t="str">
        <f t="shared" si="5"/>
        <v>FIN
est inférieur
à la plus grande lecture du
mois</v>
      </c>
      <c r="F60" s="85">
        <f t="shared" si="6"/>
        <v>45</v>
      </c>
      <c r="G60" s="85">
        <f t="shared" si="7"/>
        <v>50</v>
      </c>
      <c r="H60" s="553" t="str">
        <f t="shared" si="8"/>
        <v>- -</v>
      </c>
      <c r="I60" s="554">
        <f t="shared" si="9"/>
        <v>0</v>
      </c>
      <c r="J60" s="554">
        <f t="shared" si="10"/>
        <v>0</v>
      </c>
      <c r="K60" s="362"/>
      <c r="L60" s="362"/>
      <c r="M60" s="362"/>
      <c r="N60" s="362"/>
      <c r="O60" s="362"/>
      <c r="P60" s="362"/>
      <c r="Q60" s="362"/>
      <c r="R60" s="9">
        <v>53</v>
      </c>
      <c r="S60" s="362"/>
    </row>
    <row r="61" spans="1:26">
      <c r="A61" s="450" t="str">
        <f t="shared" si="0"/>
        <v>- -</v>
      </c>
      <c r="B61" s="450"/>
      <c r="C61" s="450"/>
      <c r="D61" s="90"/>
      <c r="E61" s="552" t="str">
        <f t="shared" si="5"/>
        <v/>
      </c>
      <c r="F61" s="85">
        <f t="shared" si="6"/>
        <v>0</v>
      </c>
      <c r="G61" s="85">
        <f t="shared" si="7"/>
        <v>0</v>
      </c>
      <c r="H61" s="553" t="str">
        <f t="shared" si="8"/>
        <v>- -</v>
      </c>
      <c r="I61" s="554">
        <f t="shared" si="9"/>
        <v>0</v>
      </c>
      <c r="J61" s="554">
        <f t="shared" si="10"/>
        <v>0</v>
      </c>
      <c r="K61" s="362"/>
      <c r="L61" s="362"/>
      <c r="M61" s="362"/>
      <c r="N61" s="362"/>
      <c r="O61" s="362"/>
      <c r="P61" s="362"/>
      <c r="Q61" s="362"/>
      <c r="R61" s="9">
        <v>54</v>
      </c>
      <c r="S61" s="362"/>
    </row>
    <row r="62" spans="1:26">
      <c r="A62" s="450" t="str">
        <f t="shared" si="0"/>
        <v>May begin or end with a blank space</v>
      </c>
      <c r="B62" s="450"/>
      <c r="C62" s="450" t="s">
        <v>120</v>
      </c>
      <c r="D62" s="90" t="s">
        <v>121</v>
      </c>
      <c r="E62" s="552" t="str">
        <f t="shared" si="5"/>
        <v xml:space="preserve">◄ ◄◄ ◄ ◄ ◄ ◄ ◄  Entrer jour  </v>
      </c>
      <c r="F62" s="85">
        <f t="shared" si="6"/>
        <v>27</v>
      </c>
      <c r="G62" s="85">
        <f t="shared" si="7"/>
        <v>29</v>
      </c>
      <c r="H62" s="553" t="str">
        <f t="shared" si="8"/>
        <v>- -</v>
      </c>
      <c r="I62" s="554">
        <f t="shared" si="9"/>
        <v>3</v>
      </c>
      <c r="J62" s="554">
        <f t="shared" si="10"/>
        <v>3</v>
      </c>
      <c r="K62" s="362"/>
      <c r="L62" s="362"/>
      <c r="M62" s="362"/>
      <c r="N62" s="362"/>
      <c r="O62" s="362"/>
      <c r="P62" s="362"/>
      <c r="Q62" s="362"/>
      <c r="R62" s="9">
        <v>55</v>
      </c>
      <c r="S62" s="362"/>
    </row>
    <row r="63" spans="1:26" ht="39.6">
      <c r="A63" s="450" t="str">
        <f t="shared" si="0"/>
        <v>May begin or end with a blank space</v>
      </c>
      <c r="B63" s="450"/>
      <c r="C63" s="450" t="s">
        <v>122</v>
      </c>
      <c r="D63" s="90" t="s">
        <v>123</v>
      </c>
      <c r="E63" s="552" t="str">
        <f t="shared" si="5"/>
        <v xml:space="preserve">Entrer "X" pour tout mois où aucune automobile n'était disponible
     ▼▼ </v>
      </c>
      <c r="F63" s="85">
        <f t="shared" si="6"/>
        <v>63</v>
      </c>
      <c r="G63" s="85">
        <f t="shared" si="7"/>
        <v>74</v>
      </c>
      <c r="H63" s="553" t="str">
        <f t="shared" si="8"/>
        <v>- -</v>
      </c>
      <c r="I63" s="554">
        <f t="shared" si="9"/>
        <v>5</v>
      </c>
      <c r="J63" s="554">
        <f t="shared" si="10"/>
        <v>5</v>
      </c>
      <c r="K63" s="362"/>
      <c r="L63" s="362"/>
      <c r="M63" s="362"/>
      <c r="N63" s="362"/>
      <c r="O63" s="362"/>
      <c r="P63" s="362"/>
      <c r="Q63" s="362"/>
      <c r="R63" s="9">
        <v>56</v>
      </c>
      <c r="S63" s="362"/>
    </row>
    <row r="64" spans="1:26" ht="26.4">
      <c r="A64" s="450" t="str">
        <f t="shared" si="0"/>
        <v>- -</v>
      </c>
      <c r="B64" s="450"/>
      <c r="C64" s="450" t="s">
        <v>124</v>
      </c>
      <c r="D64" s="90" t="s">
        <v>125</v>
      </c>
      <c r="E64" s="552" t="str">
        <f t="shared" si="5"/>
        <v>Entrer le jour aussi souvent que nécessaire.
▼</v>
      </c>
      <c r="F64" s="85">
        <f t="shared" si="6"/>
        <v>40</v>
      </c>
      <c r="G64" s="85">
        <f t="shared" si="7"/>
        <v>46</v>
      </c>
      <c r="H64" s="553" t="str">
        <f t="shared" si="8"/>
        <v>- -</v>
      </c>
      <c r="I64" s="554">
        <f t="shared" si="9"/>
        <v>0</v>
      </c>
      <c r="J64" s="554">
        <f t="shared" si="10"/>
        <v>0</v>
      </c>
      <c r="K64" s="362"/>
      <c r="L64" s="362"/>
      <c r="M64" s="362"/>
      <c r="N64" s="362"/>
      <c r="O64" s="362"/>
      <c r="P64" s="362"/>
      <c r="Q64" s="362"/>
      <c r="R64" s="9">
        <v>57</v>
      </c>
      <c r="S64" s="362"/>
    </row>
    <row r="65" spans="1:19" ht="52.8">
      <c r="A65" s="450" t="str">
        <f t="shared" si="0"/>
        <v>- -</v>
      </c>
      <c r="B65" s="450"/>
      <c r="C65" s="396" t="s">
        <v>126</v>
      </c>
      <c r="D65" s="397" t="s">
        <v>127</v>
      </c>
      <c r="E65" s="552" t="str">
        <f t="shared" si="5"/>
        <v>▼</v>
      </c>
      <c r="F65" s="85">
        <f t="shared" si="6"/>
        <v>129</v>
      </c>
      <c r="G65" s="85">
        <f t="shared" si="7"/>
        <v>1</v>
      </c>
      <c r="H65" s="553" t="str">
        <f t="shared" si="8"/>
        <v>- -</v>
      </c>
      <c r="I65" s="554">
        <f t="shared" si="9"/>
        <v>0</v>
      </c>
      <c r="J65" s="554">
        <f t="shared" si="10"/>
        <v>0</v>
      </c>
      <c r="K65" s="362"/>
      <c r="L65" s="362"/>
      <c r="M65" s="362"/>
      <c r="N65" s="362"/>
      <c r="O65" s="362"/>
      <c r="P65" s="362"/>
      <c r="Q65" s="362"/>
      <c r="R65" s="9">
        <v>58</v>
      </c>
      <c r="S65" s="362"/>
    </row>
    <row r="66" spans="1:19">
      <c r="A66" s="450" t="str">
        <f t="shared" si="0"/>
        <v>- -</v>
      </c>
      <c r="B66" s="450"/>
      <c r="C66" s="450" t="s">
        <v>128</v>
      </c>
      <c r="D66" s="90" t="s">
        <v>129</v>
      </c>
      <c r="E66" s="552" t="str">
        <f t="shared" si="5"/>
        <v>Entrer l'année</v>
      </c>
      <c r="F66" s="85">
        <f t="shared" si="6"/>
        <v>10</v>
      </c>
      <c r="G66" s="85">
        <f t="shared" si="7"/>
        <v>14</v>
      </c>
      <c r="H66" s="553" t="str">
        <f t="shared" si="8"/>
        <v>- -</v>
      </c>
      <c r="I66" s="554">
        <f t="shared" si="9"/>
        <v>0</v>
      </c>
      <c r="J66" s="554">
        <f t="shared" si="10"/>
        <v>0</v>
      </c>
      <c r="K66" s="362"/>
      <c r="L66" s="362"/>
      <c r="M66" s="362"/>
      <c r="N66" s="362"/>
      <c r="O66" s="362"/>
      <c r="P66" s="362"/>
      <c r="Q66" s="362"/>
      <c r="R66" s="9">
        <v>59</v>
      </c>
      <c r="S66" s="362"/>
    </row>
    <row r="67" spans="1:19">
      <c r="A67" s="450" t="str">
        <f t="shared" si="0"/>
        <v>- -</v>
      </c>
      <c r="B67" s="450"/>
      <c r="C67" s="561" t="s">
        <v>130</v>
      </c>
      <c r="D67" s="474" t="s">
        <v>131</v>
      </c>
      <c r="E67" s="552" t="str">
        <f t="shared" si="5"/>
        <v>Autres dépenses</v>
      </c>
      <c r="F67" s="85">
        <f t="shared" si="6"/>
        <v>14</v>
      </c>
      <c r="G67" s="85">
        <f t="shared" si="7"/>
        <v>15</v>
      </c>
      <c r="H67" s="553" t="str">
        <f t="shared" si="8"/>
        <v>- -</v>
      </c>
      <c r="I67" s="554">
        <f t="shared" si="9"/>
        <v>0</v>
      </c>
      <c r="J67" s="554">
        <f t="shared" si="10"/>
        <v>0</v>
      </c>
      <c r="K67" s="362"/>
      <c r="L67" s="362"/>
      <c r="M67" s="362"/>
      <c r="N67" s="362"/>
      <c r="O67" s="362"/>
      <c r="P67" s="362"/>
      <c r="Q67" s="362"/>
      <c r="R67" s="9">
        <v>60</v>
      </c>
      <c r="S67" s="362"/>
    </row>
    <row r="68" spans="1:19">
      <c r="A68" s="450" t="str">
        <f t="shared" si="0"/>
        <v>- -</v>
      </c>
      <c r="B68" s="450"/>
      <c r="C68" s="450" t="s">
        <v>132</v>
      </c>
      <c r="D68" s="90" t="s">
        <v>133</v>
      </c>
      <c r="E68" s="552" t="str">
        <f t="shared" si="5"/>
        <v>Explication/description</v>
      </c>
      <c r="F68" s="85">
        <f t="shared" si="6"/>
        <v>23</v>
      </c>
      <c r="G68" s="85">
        <f t="shared" si="7"/>
        <v>23</v>
      </c>
      <c r="H68" s="553" t="str">
        <f t="shared" si="8"/>
        <v>- -</v>
      </c>
      <c r="I68" s="554">
        <f t="shared" si="9"/>
        <v>0</v>
      </c>
      <c r="J68" s="554">
        <f t="shared" si="10"/>
        <v>0</v>
      </c>
      <c r="K68" s="362"/>
      <c r="L68" s="362"/>
      <c r="M68" s="362"/>
      <c r="N68" s="362"/>
      <c r="O68" s="362"/>
      <c r="P68" s="362"/>
      <c r="Q68" s="362"/>
      <c r="R68" s="9">
        <v>61</v>
      </c>
      <c r="S68" s="362"/>
    </row>
    <row r="69" spans="1:19" ht="39.6">
      <c r="A69" s="450" t="str">
        <f t="shared" si="0"/>
        <v>May begin or end with a blank space</v>
      </c>
      <c r="B69" s="450"/>
      <c r="C69" s="450" t="s">
        <v>134</v>
      </c>
      <c r="D69" s="90" t="s">
        <v>135</v>
      </c>
      <c r="E69" s="552" t="str">
        <f t="shared" si="5"/>
        <v>Pour obtenir de l'aide : Utilisation 
d'une automobile - Guide fiscal :</v>
      </c>
      <c r="F69" s="85">
        <f t="shared" si="6"/>
        <v>57</v>
      </c>
      <c r="G69" s="85">
        <f t="shared" si="7"/>
        <v>71</v>
      </c>
      <c r="H69" s="553" t="str">
        <f t="shared" si="8"/>
        <v>Check matching spaces at beginning or end</v>
      </c>
      <c r="I69" s="554">
        <f t="shared" si="9"/>
        <v>1</v>
      </c>
      <c r="J69" s="554">
        <f t="shared" si="10"/>
        <v>0</v>
      </c>
      <c r="K69" s="362"/>
      <c r="L69" s="362"/>
      <c r="M69" s="362"/>
      <c r="N69" s="362"/>
      <c r="O69" s="362"/>
      <c r="P69" s="362"/>
      <c r="Q69" s="362"/>
      <c r="R69" s="9">
        <v>62</v>
      </c>
      <c r="S69" s="362"/>
    </row>
    <row r="70" spans="1:19" ht="26.4">
      <c r="A70" s="450" t="str">
        <f t="shared" ref="A70:A134" si="11">IF(LEN(C70)-LEN(TRIM(C70))&gt;0,"May begin or end with a blank space","- -")</f>
        <v>- -</v>
      </c>
      <c r="B70" s="450"/>
      <c r="C70" s="450" t="s">
        <v>136</v>
      </c>
      <c r="D70" s="90" t="s">
        <v>137</v>
      </c>
      <c r="E70" s="552" t="str">
        <f t="shared" ref="E70:E134" si="12">IF($G$3="F",IF(G70=0,"",D70),IF(F70=0,"",C70))</f>
        <v>Essence
et huile</v>
      </c>
      <c r="F70" s="85">
        <f t="shared" ref="F70:F134" si="13">LEN(C70)</f>
        <v>12</v>
      </c>
      <c r="G70" s="85">
        <f t="shared" ref="G70:G134" si="14">LEN(D70)</f>
        <v>16</v>
      </c>
      <c r="H70" s="553" t="str">
        <f t="shared" ref="H70:H134" si="15">IF(I70&lt;&gt;J70,"Check matching spaces at beginning or end","- -")</f>
        <v>- -</v>
      </c>
      <c r="I70" s="554">
        <f t="shared" ref="I70:I134" si="16">F70-LEN(TRIM(C70))</f>
        <v>0</v>
      </c>
      <c r="J70" s="554">
        <f t="shared" ref="J70:J134" si="17">G70-LEN(TRIM(D70))</f>
        <v>0</v>
      </c>
      <c r="K70" s="362"/>
      <c r="L70" s="362"/>
      <c r="M70" s="362"/>
      <c r="N70" s="362"/>
      <c r="O70" s="362"/>
      <c r="P70" s="362"/>
      <c r="Q70" s="362"/>
      <c r="R70" s="9">
        <v>63</v>
      </c>
      <c r="S70" s="362"/>
    </row>
    <row r="71" spans="1:19" ht="26.4">
      <c r="A71" s="450" t="str">
        <f t="shared" si="11"/>
        <v>- -</v>
      </c>
      <c r="B71" s="450"/>
      <c r="C71" s="450" t="s">
        <v>138</v>
      </c>
      <c r="D71" s="90" t="s">
        <v>139</v>
      </c>
      <c r="E71" s="552" t="str">
        <f t="shared" si="12"/>
        <v>Remboursement de la taxe d'accise sur l'essence</v>
      </c>
      <c r="F71" s="85">
        <f t="shared" si="13"/>
        <v>26</v>
      </c>
      <c r="G71" s="85">
        <f t="shared" si="14"/>
        <v>47</v>
      </c>
      <c r="H71" s="553" t="str">
        <f t="shared" si="15"/>
        <v>- -</v>
      </c>
      <c r="I71" s="554">
        <f t="shared" si="16"/>
        <v>0</v>
      </c>
      <c r="J71" s="554">
        <f t="shared" si="17"/>
        <v>0</v>
      </c>
      <c r="K71" s="362"/>
      <c r="L71" s="362"/>
      <c r="M71" s="362"/>
      <c r="N71" s="362"/>
      <c r="O71" s="362"/>
      <c r="P71" s="362"/>
      <c r="Q71" s="362"/>
      <c r="R71" s="9">
        <v>64</v>
      </c>
      <c r="S71" s="362"/>
    </row>
    <row r="72" spans="1:19">
      <c r="A72" s="450" t="str">
        <f t="shared" si="11"/>
        <v>- -</v>
      </c>
      <c r="B72" s="450"/>
      <c r="C72" s="450" t="s">
        <v>140</v>
      </c>
      <c r="D72" s="90" t="s">
        <v>141</v>
      </c>
      <c r="E72" s="552" t="str">
        <f t="shared" si="12"/>
        <v>Remboursement de la TPS/TVH reçue</v>
      </c>
      <c r="F72" s="85">
        <f t="shared" si="13"/>
        <v>23</v>
      </c>
      <c r="G72" s="85">
        <f t="shared" si="14"/>
        <v>33</v>
      </c>
      <c r="H72" s="553" t="str">
        <f t="shared" si="15"/>
        <v>- -</v>
      </c>
      <c r="I72" s="554">
        <f t="shared" si="16"/>
        <v>0</v>
      </c>
      <c r="J72" s="554">
        <f t="shared" si="17"/>
        <v>0</v>
      </c>
      <c r="K72" s="362"/>
      <c r="L72" s="362"/>
      <c r="M72" s="362"/>
      <c r="N72" s="362"/>
      <c r="O72" s="362"/>
      <c r="P72" s="362"/>
      <c r="Q72" s="362"/>
      <c r="R72" s="9">
        <v>65</v>
      </c>
      <c r="S72" s="362"/>
    </row>
    <row r="73" spans="1:19">
      <c r="A73" s="450" t="str">
        <f t="shared" si="11"/>
        <v>- -</v>
      </c>
      <c r="B73" s="450"/>
      <c r="C73" s="562" t="s">
        <v>142</v>
      </c>
      <c r="D73" s="451" t="s">
        <v>143</v>
      </c>
      <c r="E73" s="552" t="str">
        <f t="shared" si="12"/>
        <v>Consigner les détails dans A.</v>
      </c>
      <c r="F73" s="85">
        <f t="shared" si="13"/>
        <v>20</v>
      </c>
      <c r="G73" s="85">
        <f t="shared" si="14"/>
        <v>29</v>
      </c>
      <c r="H73" s="553" t="str">
        <f t="shared" si="15"/>
        <v>- -</v>
      </c>
      <c r="I73" s="554">
        <f t="shared" si="16"/>
        <v>0</v>
      </c>
      <c r="J73" s="554">
        <f t="shared" si="17"/>
        <v>0</v>
      </c>
      <c r="K73" s="362"/>
      <c r="L73" s="362"/>
      <c r="M73" s="362"/>
      <c r="N73" s="362"/>
      <c r="O73" s="362"/>
      <c r="P73" s="362"/>
      <c r="Q73" s="362"/>
      <c r="R73" s="9">
        <v>66</v>
      </c>
      <c r="S73" s="362"/>
    </row>
    <row r="74" spans="1:19" ht="26.4">
      <c r="A74" s="450" t="str">
        <f t="shared" si="11"/>
        <v>- -</v>
      </c>
      <c r="B74" s="450"/>
      <c r="C74" s="450" t="s">
        <v>144</v>
      </c>
      <c r="D74" s="90" t="s">
        <v>145</v>
      </c>
      <c r="E74" s="552" t="str">
        <f t="shared" si="12"/>
        <v>Si l'automobile est fournie par l'employeur, entrer les jours d'indisponibilité</v>
      </c>
      <c r="F74" s="85">
        <f t="shared" si="13"/>
        <v>57</v>
      </c>
      <c r="G74" s="85">
        <f t="shared" si="14"/>
        <v>79</v>
      </c>
      <c r="H74" s="553" t="str">
        <f t="shared" si="15"/>
        <v>- -</v>
      </c>
      <c r="I74" s="554">
        <f t="shared" si="16"/>
        <v>0</v>
      </c>
      <c r="J74" s="554">
        <f t="shared" si="17"/>
        <v>0</v>
      </c>
      <c r="K74" s="362"/>
      <c r="L74" s="362"/>
      <c r="M74" s="362"/>
      <c r="N74" s="362"/>
      <c r="O74" s="362"/>
      <c r="P74" s="362"/>
      <c r="Q74" s="362"/>
      <c r="R74" s="9">
        <v>67</v>
      </c>
      <c r="S74" s="362"/>
    </row>
    <row r="75" spans="1:19" ht="39.6">
      <c r="A75" s="450" t="str">
        <f t="shared" si="11"/>
        <v>- -</v>
      </c>
      <c r="B75" s="450"/>
      <c r="C75" s="450" t="s">
        <v>146</v>
      </c>
      <c r="D75" s="90" t="s">
        <v>147</v>
      </c>
      <c r="E75" s="552" t="str">
        <f t="shared" si="12"/>
        <v>Si l'automobile n'est pas disponible tout le mois, indiquez-le sur le sommaire annuel et non ici.</v>
      </c>
      <c r="F75" s="85">
        <f t="shared" si="13"/>
        <v>95</v>
      </c>
      <c r="G75" s="85">
        <f t="shared" si="14"/>
        <v>97</v>
      </c>
      <c r="H75" s="553" t="str">
        <f t="shared" si="15"/>
        <v>- -</v>
      </c>
      <c r="I75" s="554">
        <f t="shared" si="16"/>
        <v>0</v>
      </c>
      <c r="J75" s="554">
        <f t="shared" si="17"/>
        <v>0</v>
      </c>
      <c r="K75" s="362"/>
      <c r="L75" s="362"/>
      <c r="M75" s="362"/>
      <c r="N75" s="362"/>
      <c r="O75" s="362"/>
      <c r="P75" s="362"/>
      <c r="Q75" s="362"/>
      <c r="R75" s="9">
        <v>68</v>
      </c>
      <c r="S75" s="362"/>
    </row>
    <row r="76" spans="1:19">
      <c r="A76" s="450" t="str">
        <f t="shared" si="11"/>
        <v>May begin or end with a blank space</v>
      </c>
      <c r="B76" s="450"/>
      <c r="C76" s="450" t="s">
        <v>148</v>
      </c>
      <c r="D76" s="439" t="s">
        <v>149</v>
      </c>
      <c r="E76" s="552" t="str">
        <f t="shared" si="12"/>
        <v xml:space="preserve">En </v>
      </c>
      <c r="F76" s="85">
        <f t="shared" si="13"/>
        <v>3</v>
      </c>
      <c r="G76" s="85">
        <f t="shared" si="14"/>
        <v>3</v>
      </c>
      <c r="H76" s="553" t="str">
        <f t="shared" si="15"/>
        <v>- -</v>
      </c>
      <c r="I76" s="554">
        <f t="shared" si="16"/>
        <v>1</v>
      </c>
      <c r="J76" s="554">
        <f t="shared" si="17"/>
        <v>1</v>
      </c>
      <c r="K76" s="362"/>
      <c r="L76" s="362"/>
      <c r="M76" s="362"/>
      <c r="N76" s="362"/>
      <c r="O76" s="362"/>
      <c r="P76" s="362"/>
      <c r="Q76" s="362"/>
      <c r="R76" s="9"/>
      <c r="S76" s="362"/>
    </row>
    <row r="77" spans="1:19">
      <c r="A77" s="450" t="str">
        <f t="shared" si="11"/>
        <v>May begin or end with a blank space</v>
      </c>
      <c r="B77" s="450"/>
      <c r="C77" s="450" t="s">
        <v>150</v>
      </c>
      <c r="D77" s="90" t="s">
        <v>151</v>
      </c>
      <c r="E77" s="552" t="str">
        <f t="shared" si="12"/>
        <v xml:space="preserve">Dans les 45 premiers jours </v>
      </c>
      <c r="F77" s="85">
        <f t="shared" si="13"/>
        <v>20</v>
      </c>
      <c r="G77" s="85">
        <f t="shared" si="14"/>
        <v>27</v>
      </c>
      <c r="H77" s="553" t="str">
        <f t="shared" si="15"/>
        <v>- -</v>
      </c>
      <c r="I77" s="554">
        <f t="shared" si="16"/>
        <v>1</v>
      </c>
      <c r="J77" s="554">
        <f t="shared" si="17"/>
        <v>1</v>
      </c>
      <c r="K77" s="362"/>
      <c r="L77" s="362"/>
      <c r="M77" s="362"/>
      <c r="N77" s="362"/>
      <c r="O77" s="362"/>
      <c r="P77" s="362"/>
      <c r="Q77" s="362"/>
      <c r="R77" s="9"/>
      <c r="S77" s="362"/>
    </row>
    <row r="78" spans="1:19" ht="39.6">
      <c r="A78" s="450" t="str">
        <f t="shared" si="11"/>
        <v>May begin or end with a blank space</v>
      </c>
      <c r="B78" s="450"/>
      <c r="C78" s="450" t="s">
        <v>152</v>
      </c>
      <c r="D78" s="90" t="s">
        <v>153</v>
      </c>
      <c r="E78" s="552" t="str">
        <f t="shared" si="12"/>
        <v>Entrées individuelles du compteur</v>
      </c>
      <c r="F78" s="85">
        <f t="shared" si="13"/>
        <v>28</v>
      </c>
      <c r="G78" s="85">
        <f t="shared" si="14"/>
        <v>33</v>
      </c>
      <c r="H78" s="553" t="str">
        <f t="shared" si="15"/>
        <v>Check matching spaces at beginning or end</v>
      </c>
      <c r="I78" s="554">
        <f t="shared" si="16"/>
        <v>1</v>
      </c>
      <c r="J78" s="554">
        <f t="shared" si="17"/>
        <v>0</v>
      </c>
      <c r="K78" s="362"/>
      <c r="L78" s="362"/>
      <c r="M78" s="362"/>
      <c r="N78" s="362"/>
      <c r="O78" s="362"/>
      <c r="P78" s="362"/>
      <c r="Q78" s="362"/>
      <c r="R78" s="9">
        <v>69</v>
      </c>
      <c r="S78" s="362"/>
    </row>
    <row r="79" spans="1:19">
      <c r="A79" s="450" t="str">
        <f t="shared" si="11"/>
        <v>- -</v>
      </c>
      <c r="B79" s="450"/>
      <c r="C79" s="563" t="s">
        <v>154</v>
      </c>
      <c r="D79" s="509" t="s">
        <v>155</v>
      </c>
      <c r="E79" s="552" t="str">
        <f t="shared" si="12"/>
        <v>Assurance</v>
      </c>
      <c r="F79" s="85">
        <f t="shared" si="13"/>
        <v>9</v>
      </c>
      <c r="G79" s="85">
        <f t="shared" si="14"/>
        <v>9</v>
      </c>
      <c r="H79" s="553" t="str">
        <f t="shared" si="15"/>
        <v>- -</v>
      </c>
      <c r="I79" s="554">
        <f t="shared" si="16"/>
        <v>0</v>
      </c>
      <c r="J79" s="554">
        <f t="shared" si="17"/>
        <v>0</v>
      </c>
      <c r="K79" s="362"/>
      <c r="L79" s="362"/>
      <c r="M79" s="362"/>
      <c r="N79" s="362"/>
      <c r="O79" s="362"/>
      <c r="P79" s="362"/>
      <c r="Q79" s="362"/>
      <c r="R79" s="9">
        <v>70</v>
      </c>
      <c r="S79" s="362"/>
    </row>
    <row r="80" spans="1:19">
      <c r="A80" s="450" t="str">
        <f t="shared" si="11"/>
        <v>- -</v>
      </c>
      <c r="B80" s="450"/>
      <c r="C80" s="450" t="s">
        <v>156</v>
      </c>
      <c r="D80" s="90" t="s">
        <v>157</v>
      </c>
      <c r="E80" s="552" t="str">
        <f t="shared" si="12"/>
        <v>Produit d'assurance</v>
      </c>
      <c r="F80" s="85">
        <f t="shared" si="13"/>
        <v>18</v>
      </c>
      <c r="G80" s="85">
        <f t="shared" si="14"/>
        <v>19</v>
      </c>
      <c r="H80" s="553" t="str">
        <f t="shared" si="15"/>
        <v>- -</v>
      </c>
      <c r="I80" s="554">
        <f t="shared" si="16"/>
        <v>0</v>
      </c>
      <c r="J80" s="554">
        <f t="shared" si="17"/>
        <v>0</v>
      </c>
      <c r="K80" s="362"/>
      <c r="L80" s="362"/>
      <c r="M80" s="362"/>
      <c r="N80" s="362"/>
      <c r="O80" s="362"/>
      <c r="P80" s="362"/>
      <c r="Q80" s="362"/>
      <c r="R80" s="9">
        <v>71</v>
      </c>
      <c r="S80" s="362"/>
    </row>
    <row r="81" spans="1:19">
      <c r="A81" s="450" t="str">
        <f t="shared" si="11"/>
        <v>- -</v>
      </c>
      <c r="B81" s="450"/>
      <c r="C81" s="450" t="s">
        <v>158</v>
      </c>
      <c r="D81" s="90" t="s">
        <v>159</v>
      </c>
      <c r="E81" s="552" t="str">
        <f t="shared" si="12"/>
        <v>Frais d'intérêt</v>
      </c>
      <c r="F81" s="85">
        <f t="shared" si="13"/>
        <v>16</v>
      </c>
      <c r="G81" s="85">
        <f t="shared" si="14"/>
        <v>15</v>
      </c>
      <c r="H81" s="553" t="str">
        <f t="shared" si="15"/>
        <v>- -</v>
      </c>
      <c r="I81" s="554">
        <f t="shared" si="16"/>
        <v>0</v>
      </c>
      <c r="J81" s="554">
        <f t="shared" si="17"/>
        <v>0</v>
      </c>
      <c r="K81" s="362"/>
      <c r="L81" s="362"/>
      <c r="M81" s="362"/>
      <c r="N81" s="362"/>
      <c r="O81" s="362"/>
      <c r="P81" s="362"/>
      <c r="Q81" s="362"/>
      <c r="R81" s="9">
        <v>72</v>
      </c>
      <c r="S81" s="362"/>
    </row>
    <row r="82" spans="1:19">
      <c r="A82" s="450" t="str">
        <f t="shared" si="11"/>
        <v>- -</v>
      </c>
      <c r="B82" s="450"/>
      <c r="C82" s="450"/>
      <c r="D82" s="90"/>
      <c r="E82" s="552" t="str">
        <f t="shared" si="12"/>
        <v/>
      </c>
      <c r="F82" s="85">
        <f t="shared" si="13"/>
        <v>0</v>
      </c>
      <c r="G82" s="85">
        <f t="shared" si="14"/>
        <v>0</v>
      </c>
      <c r="H82" s="553" t="str">
        <f t="shared" si="15"/>
        <v>- -</v>
      </c>
      <c r="I82" s="554">
        <f t="shared" si="16"/>
        <v>0</v>
      </c>
      <c r="J82" s="554">
        <f t="shared" si="17"/>
        <v>0</v>
      </c>
      <c r="K82" s="362"/>
      <c r="L82" s="362"/>
      <c r="M82" s="362"/>
      <c r="N82" s="362"/>
      <c r="O82" s="362"/>
      <c r="P82" s="362"/>
      <c r="Q82" s="362"/>
      <c r="R82" s="9">
        <v>73</v>
      </c>
      <c r="S82" s="362"/>
    </row>
    <row r="83" spans="1:19">
      <c r="A83" s="450" t="str">
        <f t="shared" si="11"/>
        <v>- -</v>
      </c>
      <c r="B83" s="450"/>
      <c r="C83" s="450"/>
      <c r="D83" s="90"/>
      <c r="E83" s="552" t="str">
        <f t="shared" si="12"/>
        <v/>
      </c>
      <c r="F83" s="85">
        <f t="shared" si="13"/>
        <v>0</v>
      </c>
      <c r="G83" s="85">
        <f t="shared" si="14"/>
        <v>0</v>
      </c>
      <c r="H83" s="553" t="str">
        <f t="shared" si="15"/>
        <v>- -</v>
      </c>
      <c r="I83" s="554">
        <f t="shared" si="16"/>
        <v>0</v>
      </c>
      <c r="J83" s="554">
        <f t="shared" si="17"/>
        <v>0</v>
      </c>
      <c r="K83" s="362"/>
      <c r="L83" s="362"/>
      <c r="M83" s="362"/>
      <c r="N83" s="362"/>
      <c r="O83" s="362"/>
      <c r="P83" s="362"/>
      <c r="Q83" s="362"/>
      <c r="R83" s="9">
        <v>74</v>
      </c>
      <c r="S83" s="362"/>
    </row>
    <row r="84" spans="1:19">
      <c r="A84" s="450" t="str">
        <f t="shared" si="11"/>
        <v>- -</v>
      </c>
      <c r="B84" s="450"/>
      <c r="C84" s="450"/>
      <c r="D84" s="90"/>
      <c r="E84" s="552" t="str">
        <f t="shared" si="12"/>
        <v/>
      </c>
      <c r="F84" s="85">
        <f t="shared" si="13"/>
        <v>0</v>
      </c>
      <c r="G84" s="85">
        <f t="shared" si="14"/>
        <v>0</v>
      </c>
      <c r="H84" s="553" t="str">
        <f t="shared" si="15"/>
        <v>- -</v>
      </c>
      <c r="I84" s="554">
        <f t="shared" si="16"/>
        <v>0</v>
      </c>
      <c r="J84" s="554">
        <f t="shared" si="17"/>
        <v>0</v>
      </c>
      <c r="K84" s="362"/>
      <c r="L84" s="362"/>
      <c r="M84" s="362"/>
      <c r="N84" s="362"/>
      <c r="O84" s="362"/>
      <c r="P84" s="362"/>
      <c r="Q84" s="362"/>
      <c r="R84" s="9">
        <v>75</v>
      </c>
      <c r="S84" s="362"/>
    </row>
    <row r="85" spans="1:19" ht="26.4">
      <c r="A85" s="450" t="str">
        <f t="shared" si="11"/>
        <v>- -</v>
      </c>
      <c r="B85" s="450"/>
      <c r="C85" s="450" t="s">
        <v>160</v>
      </c>
      <c r="D85" s="90" t="s">
        <v>161</v>
      </c>
      <c r="E85" s="552" t="str">
        <f t="shared" si="12"/>
        <v>km (FIN moins DÉBUT) peut être nul ou négatif</v>
      </c>
      <c r="F85" s="85">
        <f t="shared" si="13"/>
        <v>43</v>
      </c>
      <c r="G85" s="85">
        <f t="shared" si="14"/>
        <v>45</v>
      </c>
      <c r="H85" s="553" t="str">
        <f t="shared" si="15"/>
        <v>- -</v>
      </c>
      <c r="I85" s="554">
        <f t="shared" si="16"/>
        <v>0</v>
      </c>
      <c r="J85" s="554">
        <f t="shared" si="17"/>
        <v>0</v>
      </c>
      <c r="K85" s="362"/>
      <c r="L85" s="362"/>
      <c r="M85" s="362"/>
      <c r="N85" s="362"/>
      <c r="O85" s="362"/>
      <c r="P85" s="362"/>
      <c r="Q85" s="362"/>
      <c r="R85" s="9">
        <v>76</v>
      </c>
      <c r="S85" s="362"/>
    </row>
    <row r="86" spans="1:19">
      <c r="A86" s="450" t="str">
        <f t="shared" si="11"/>
        <v>- -</v>
      </c>
      <c r="B86" s="450"/>
      <c r="C86" s="450" t="s">
        <v>162</v>
      </c>
      <c r="D86" s="90" t="s">
        <v>163</v>
      </c>
      <c r="E86" s="552" t="str">
        <f t="shared" si="12"/>
        <v>km parcourus dans l'année</v>
      </c>
      <c r="F86" s="85">
        <f t="shared" si="13"/>
        <v>17</v>
      </c>
      <c r="G86" s="85">
        <f t="shared" si="14"/>
        <v>25</v>
      </c>
      <c r="H86" s="553" t="str">
        <f t="shared" si="15"/>
        <v>- -</v>
      </c>
      <c r="I86" s="554">
        <f t="shared" si="16"/>
        <v>0</v>
      </c>
      <c r="J86" s="554">
        <f t="shared" si="17"/>
        <v>0</v>
      </c>
      <c r="K86" s="362"/>
      <c r="L86" s="362"/>
      <c r="M86" s="362"/>
      <c r="N86" s="362"/>
      <c r="O86" s="362"/>
      <c r="P86" s="362"/>
      <c r="Q86" s="362"/>
      <c r="R86" s="9">
        <v>77</v>
      </c>
      <c r="S86" s="362"/>
    </row>
    <row r="87" spans="1:19">
      <c r="A87" s="450" t="str">
        <f t="shared" si="11"/>
        <v>- -</v>
      </c>
      <c r="B87" s="450"/>
      <c r="C87" s="450" t="s">
        <v>164</v>
      </c>
      <c r="D87" s="90" t="s">
        <v>165</v>
      </c>
      <c r="E87" s="552" t="str">
        <f t="shared" si="12"/>
        <v>km dans le mois</v>
      </c>
      <c r="F87" s="85">
        <f t="shared" si="13"/>
        <v>11</v>
      </c>
      <c r="G87" s="85">
        <f t="shared" si="14"/>
        <v>15</v>
      </c>
      <c r="H87" s="553" t="str">
        <f t="shared" si="15"/>
        <v>- -</v>
      </c>
      <c r="I87" s="554">
        <f t="shared" si="16"/>
        <v>0</v>
      </c>
      <c r="J87" s="554">
        <f t="shared" si="17"/>
        <v>0</v>
      </c>
      <c r="K87" s="362"/>
      <c r="L87" s="362"/>
      <c r="M87" s="362"/>
      <c r="N87" s="362"/>
      <c r="O87" s="362"/>
      <c r="P87" s="362"/>
      <c r="Q87" s="362"/>
      <c r="R87" s="9">
        <v>78</v>
      </c>
      <c r="S87" s="362"/>
    </row>
    <row r="88" spans="1:19">
      <c r="A88" s="450" t="str">
        <f t="shared" si="11"/>
        <v>- -</v>
      </c>
      <c r="B88" s="450"/>
      <c r="C88" s="450" t="s">
        <v>166</v>
      </c>
      <c r="D88" s="90" t="s">
        <v>167</v>
      </c>
      <c r="E88" s="552" t="str">
        <f t="shared" si="12"/>
        <v>Plus élevé</v>
      </c>
      <c r="F88" s="85">
        <f t="shared" si="13"/>
        <v>7</v>
      </c>
      <c r="G88" s="85">
        <f t="shared" si="14"/>
        <v>10</v>
      </c>
      <c r="H88" s="553" t="str">
        <f t="shared" si="15"/>
        <v>- -</v>
      </c>
      <c r="I88" s="554">
        <f t="shared" si="16"/>
        <v>0</v>
      </c>
      <c r="J88" s="554">
        <f t="shared" si="17"/>
        <v>0</v>
      </c>
      <c r="K88" s="362"/>
      <c r="L88" s="362"/>
      <c r="M88" s="362"/>
      <c r="N88" s="362"/>
      <c r="O88" s="362"/>
      <c r="P88" s="362"/>
      <c r="Q88" s="362"/>
      <c r="R88" s="9">
        <v>79</v>
      </c>
      <c r="S88" s="362"/>
    </row>
    <row r="89" spans="1:19" ht="26.4">
      <c r="A89" s="450"/>
      <c r="B89" s="450"/>
      <c r="C89" s="450" t="s">
        <v>168</v>
      </c>
      <c r="D89" s="90" t="s">
        <v>169</v>
      </c>
      <c r="E89" s="552" t="str">
        <f t="shared" si="12"/>
        <v>Lecture de FIN la plus élevée de toutes les voitures</v>
      </c>
      <c r="F89" s="85">
        <f t="shared" si="13"/>
        <v>31</v>
      </c>
      <c r="G89" s="85">
        <f t="shared" si="14"/>
        <v>52</v>
      </c>
      <c r="H89" s="553" t="str">
        <f t="shared" si="15"/>
        <v>- -</v>
      </c>
      <c r="I89" s="554">
        <f t="shared" si="16"/>
        <v>0</v>
      </c>
      <c r="J89" s="554">
        <f t="shared" si="17"/>
        <v>0</v>
      </c>
      <c r="K89" s="450"/>
      <c r="L89" s="450"/>
      <c r="M89" s="450"/>
      <c r="N89" s="450"/>
      <c r="O89" s="450"/>
      <c r="P89" s="450"/>
      <c r="Q89" s="450"/>
      <c r="R89" s="450"/>
      <c r="S89" s="450"/>
    </row>
    <row r="90" spans="1:19" ht="26.4">
      <c r="A90" s="450"/>
      <c r="B90" s="450"/>
      <c r="C90" s="450" t="s">
        <v>170</v>
      </c>
      <c r="D90" s="90" t="s">
        <v>171</v>
      </c>
      <c r="E90" s="552" t="str">
        <f t="shared" si="12"/>
        <v>Déplace-
ment le plus grand en km</v>
      </c>
      <c r="F90" s="85">
        <f t="shared" si="13"/>
        <v>20</v>
      </c>
      <c r="G90" s="85">
        <f t="shared" si="14"/>
        <v>33</v>
      </c>
      <c r="H90" s="553" t="str">
        <f t="shared" si="15"/>
        <v>- -</v>
      </c>
      <c r="I90" s="554">
        <f t="shared" si="16"/>
        <v>0</v>
      </c>
      <c r="J90" s="554">
        <f t="shared" si="17"/>
        <v>0</v>
      </c>
      <c r="K90" s="450"/>
      <c r="L90" s="450"/>
      <c r="M90" s="450"/>
      <c r="N90" s="450"/>
      <c r="O90" s="450"/>
      <c r="P90" s="450"/>
      <c r="Q90" s="450"/>
      <c r="R90" s="450"/>
      <c r="S90" s="450"/>
    </row>
    <row r="91" spans="1:19">
      <c r="A91" s="450" t="str">
        <f>IF(LEN(C91)-LEN(TRIM(C91))&gt;0,"May begin or end with a blank space","- -")</f>
        <v>- -</v>
      </c>
      <c r="B91" s="450"/>
      <c r="C91" s="450" t="s">
        <v>172</v>
      </c>
      <c r="D91" s="90" t="s">
        <v>173</v>
      </c>
      <c r="E91" s="552" t="str">
        <f t="shared" si="12"/>
        <v>Frais de location</v>
      </c>
      <c r="F91" s="85">
        <f t="shared" si="13"/>
        <v>10</v>
      </c>
      <c r="G91" s="85">
        <f t="shared" si="14"/>
        <v>17</v>
      </c>
      <c r="H91" s="553" t="str">
        <f t="shared" si="15"/>
        <v>- -</v>
      </c>
      <c r="I91" s="554">
        <f t="shared" si="16"/>
        <v>0</v>
      </c>
      <c r="J91" s="554">
        <f t="shared" si="17"/>
        <v>0</v>
      </c>
      <c r="K91" s="362"/>
      <c r="L91" s="362"/>
      <c r="M91" s="362"/>
      <c r="N91" s="362"/>
      <c r="O91" s="362"/>
      <c r="P91" s="362"/>
      <c r="Q91" s="362"/>
      <c r="R91" s="9">
        <v>80</v>
      </c>
      <c r="S91" s="362"/>
    </row>
    <row r="92" spans="1:19">
      <c r="A92" s="450" t="str">
        <f t="shared" si="11"/>
        <v>- -</v>
      </c>
      <c r="B92" s="450"/>
      <c r="C92" s="450" t="s">
        <v>174</v>
      </c>
      <c r="D92" s="90" t="s">
        <v>175</v>
      </c>
      <c r="E92" s="552" t="str">
        <f t="shared" si="12"/>
        <v>Dépenses diverses</v>
      </c>
      <c r="F92" s="85">
        <f t="shared" si="13"/>
        <v>22</v>
      </c>
      <c r="G92" s="85">
        <f t="shared" si="14"/>
        <v>17</v>
      </c>
      <c r="H92" s="553" t="str">
        <f t="shared" si="15"/>
        <v>- -</v>
      </c>
      <c r="I92" s="554">
        <f t="shared" si="16"/>
        <v>0</v>
      </c>
      <c r="J92" s="554">
        <f t="shared" si="17"/>
        <v>0</v>
      </c>
      <c r="K92" s="362"/>
      <c r="L92" s="362"/>
      <c r="M92" s="362"/>
      <c r="N92" s="362"/>
      <c r="O92" s="362"/>
      <c r="P92" s="362"/>
      <c r="Q92" s="362"/>
      <c r="R92" s="9">
        <v>83</v>
      </c>
      <c r="S92" s="362"/>
    </row>
    <row r="93" spans="1:19">
      <c r="A93" s="450" t="str">
        <f t="shared" si="11"/>
        <v>- -</v>
      </c>
      <c r="B93" s="450"/>
      <c r="C93" s="450" t="s">
        <v>176</v>
      </c>
      <c r="D93" s="90" t="s">
        <v>177</v>
      </c>
      <c r="E93" s="552" t="str">
        <f t="shared" si="12"/>
        <v>Mois (mm)</v>
      </c>
      <c r="F93" s="85">
        <f t="shared" si="13"/>
        <v>10</v>
      </c>
      <c r="G93" s="85">
        <f t="shared" si="14"/>
        <v>9</v>
      </c>
      <c r="H93" s="553" t="str">
        <f t="shared" si="15"/>
        <v>- -</v>
      </c>
      <c r="I93" s="554">
        <f t="shared" si="16"/>
        <v>0</v>
      </c>
      <c r="J93" s="554">
        <f t="shared" si="17"/>
        <v>0</v>
      </c>
      <c r="K93" s="362"/>
      <c r="L93" s="362"/>
      <c r="M93" s="362"/>
      <c r="N93" s="362"/>
      <c r="O93" s="362"/>
      <c r="P93" s="362"/>
      <c r="Q93" s="362"/>
      <c r="R93" s="9">
        <v>84</v>
      </c>
      <c r="S93" s="362"/>
    </row>
    <row r="94" spans="1:19" ht="39.6">
      <c r="A94" s="450" t="str">
        <f t="shared" si="11"/>
        <v>- -</v>
      </c>
      <c r="B94" s="450"/>
      <c r="C94" s="450" t="s">
        <v>178</v>
      </c>
      <c r="D94" s="90" t="s">
        <v>179</v>
      </c>
      <c r="E94" s="552" t="str">
        <f t="shared" si="12"/>
        <v>Registres mensuels :
Jours manquants ou non ordonnés?</v>
      </c>
      <c r="F94" s="85">
        <f t="shared" si="13"/>
        <v>47</v>
      </c>
      <c r="G94" s="85">
        <f t="shared" si="14"/>
        <v>54</v>
      </c>
      <c r="H94" s="553" t="str">
        <f t="shared" si="15"/>
        <v>- -</v>
      </c>
      <c r="I94" s="554">
        <f t="shared" si="16"/>
        <v>0</v>
      </c>
      <c r="J94" s="554">
        <f t="shared" si="17"/>
        <v>0</v>
      </c>
      <c r="K94" s="362"/>
      <c r="L94" s="362"/>
      <c r="M94" s="362"/>
      <c r="N94" s="362"/>
      <c r="O94" s="362"/>
      <c r="P94" s="362"/>
      <c r="Q94" s="362"/>
      <c r="R94" s="9">
        <v>85</v>
      </c>
      <c r="S94" s="362"/>
    </row>
    <row r="95" spans="1:19">
      <c r="A95" s="450" t="str">
        <f t="shared" si="11"/>
        <v>- -</v>
      </c>
      <c r="B95" s="450"/>
      <c r="C95" s="450" t="s">
        <v>180</v>
      </c>
      <c r="D95" s="90" t="s">
        <v>181</v>
      </c>
      <c r="E95" s="552" t="str">
        <f t="shared" si="12"/>
        <v>Pas de données</v>
      </c>
      <c r="F95" s="85">
        <f t="shared" si="13"/>
        <v>7</v>
      </c>
      <c r="G95" s="85">
        <f t="shared" si="14"/>
        <v>14</v>
      </c>
      <c r="H95" s="553" t="str">
        <f t="shared" si="15"/>
        <v>- -</v>
      </c>
      <c r="I95" s="554">
        <f t="shared" si="16"/>
        <v>0</v>
      </c>
      <c r="J95" s="554">
        <f t="shared" si="17"/>
        <v>0</v>
      </c>
      <c r="K95" s="362"/>
      <c r="L95" s="362"/>
      <c r="M95" s="362"/>
      <c r="N95" s="362"/>
      <c r="O95" s="362"/>
      <c r="P95" s="362"/>
      <c r="Q95" s="362"/>
      <c r="R95" s="9">
        <v>86</v>
      </c>
      <c r="S95" s="362"/>
    </row>
    <row r="96" spans="1:19">
      <c r="A96" s="450" t="str">
        <f t="shared" si="11"/>
        <v>- -</v>
      </c>
      <c r="B96" s="450"/>
      <c r="C96" s="450" t="s">
        <v>182</v>
      </c>
      <c r="D96" s="90" t="s">
        <v>183</v>
      </c>
      <c r="E96" s="552" t="str">
        <f t="shared" si="12"/>
        <v>Pas de problème</v>
      </c>
      <c r="F96" s="85">
        <f t="shared" si="13"/>
        <v>10</v>
      </c>
      <c r="G96" s="85">
        <f t="shared" si="14"/>
        <v>15</v>
      </c>
      <c r="H96" s="553" t="str">
        <f t="shared" si="15"/>
        <v>- -</v>
      </c>
      <c r="I96" s="554">
        <f t="shared" si="16"/>
        <v>0</v>
      </c>
      <c r="J96" s="554">
        <f t="shared" si="17"/>
        <v>0</v>
      </c>
      <c r="K96" s="362"/>
      <c r="L96" s="362"/>
      <c r="M96" s="362"/>
      <c r="N96" s="362"/>
      <c r="O96" s="362"/>
      <c r="P96" s="362"/>
      <c r="Q96" s="362"/>
      <c r="R96" s="9">
        <v>87</v>
      </c>
      <c r="S96" s="362"/>
    </row>
    <row r="97" spans="1:19">
      <c r="A97" s="450" t="str">
        <f t="shared" si="11"/>
        <v>- -</v>
      </c>
      <c r="B97" s="450"/>
      <c r="C97" s="450" t="s">
        <v>184</v>
      </c>
      <c r="D97" s="90" t="s">
        <v>185</v>
      </c>
      <c r="E97" s="552" t="str">
        <f t="shared" si="12"/>
        <v>Réparations et entretien courants</v>
      </c>
      <c r="F97" s="85">
        <f t="shared" si="13"/>
        <v>30</v>
      </c>
      <c r="G97" s="85">
        <f t="shared" si="14"/>
        <v>33</v>
      </c>
      <c r="H97" s="553" t="str">
        <f t="shared" si="15"/>
        <v>- -</v>
      </c>
      <c r="I97" s="554">
        <f t="shared" si="16"/>
        <v>0</v>
      </c>
      <c r="J97" s="554">
        <f t="shared" si="17"/>
        <v>0</v>
      </c>
      <c r="K97" s="362"/>
      <c r="L97" s="362"/>
      <c r="M97" s="362"/>
      <c r="N97" s="362"/>
      <c r="O97" s="362"/>
      <c r="P97" s="362"/>
      <c r="Q97" s="362"/>
      <c r="R97" s="9">
        <v>88</v>
      </c>
      <c r="S97" s="362"/>
    </row>
    <row r="98" spans="1:19">
      <c r="A98" s="450" t="str">
        <f t="shared" si="11"/>
        <v>- -</v>
      </c>
      <c r="B98" s="450"/>
      <c r="C98" s="562" t="s">
        <v>186</v>
      </c>
      <c r="D98" s="451" t="s">
        <v>187</v>
      </c>
      <c r="E98" s="552" t="str">
        <f t="shared" si="12"/>
        <v>(Pas de kilométrage personnel)</v>
      </c>
      <c r="F98" s="85">
        <f t="shared" si="13"/>
        <v>24</v>
      </c>
      <c r="G98" s="85">
        <f t="shared" si="14"/>
        <v>30</v>
      </c>
      <c r="H98" s="553" t="str">
        <f t="shared" si="15"/>
        <v>- -</v>
      </c>
      <c r="I98" s="554">
        <f t="shared" si="16"/>
        <v>0</v>
      </c>
      <c r="J98" s="554">
        <f t="shared" si="17"/>
        <v>0</v>
      </c>
      <c r="K98" s="362"/>
      <c r="L98" s="362"/>
      <c r="M98" s="362"/>
      <c r="N98" s="362"/>
      <c r="O98" s="362"/>
      <c r="P98" s="362"/>
      <c r="Q98" s="362"/>
      <c r="R98" s="9">
        <v>89</v>
      </c>
      <c r="S98" s="362"/>
    </row>
    <row r="99" spans="1:19">
      <c r="A99" s="450" t="str">
        <f t="shared" si="11"/>
        <v>- -</v>
      </c>
      <c r="B99" s="450"/>
      <c r="C99" s="562"/>
      <c r="D99" s="451"/>
      <c r="E99" s="552" t="str">
        <f t="shared" si="12"/>
        <v/>
      </c>
      <c r="F99" s="85">
        <f t="shared" si="13"/>
        <v>0</v>
      </c>
      <c r="G99" s="85">
        <f t="shared" si="14"/>
        <v>0</v>
      </c>
      <c r="H99" s="553" t="str">
        <f t="shared" si="15"/>
        <v>- -</v>
      </c>
      <c r="I99" s="554">
        <f t="shared" si="16"/>
        <v>0</v>
      </c>
      <c r="J99" s="554">
        <f t="shared" si="17"/>
        <v>0</v>
      </c>
      <c r="K99" s="362"/>
      <c r="L99" s="362"/>
      <c r="M99" s="362"/>
      <c r="N99" s="362"/>
      <c r="O99" s="362"/>
      <c r="P99" s="362"/>
      <c r="Q99" s="362"/>
      <c r="R99" s="9">
        <v>90</v>
      </c>
      <c r="S99" s="362"/>
    </row>
    <row r="100" spans="1:19">
      <c r="A100" s="450" t="str">
        <f t="shared" si="11"/>
        <v>- -</v>
      </c>
      <c r="B100" s="450"/>
      <c r="C100" s="450" t="s">
        <v>188</v>
      </c>
      <c r="D100" s="90" t="s">
        <v>189</v>
      </c>
      <c r="E100" s="552" t="str">
        <f t="shared" si="12"/>
        <v>Compteur pour le début et/ou la fin du mois</v>
      </c>
      <c r="F100" s="85">
        <f t="shared" si="13"/>
        <v>38</v>
      </c>
      <c r="G100" s="85">
        <f t="shared" si="14"/>
        <v>43</v>
      </c>
      <c r="H100" s="553" t="str">
        <f t="shared" si="15"/>
        <v>- -</v>
      </c>
      <c r="I100" s="554">
        <f t="shared" si="16"/>
        <v>0</v>
      </c>
      <c r="J100" s="554">
        <f t="shared" si="17"/>
        <v>0</v>
      </c>
      <c r="K100" s="362"/>
      <c r="L100" s="362"/>
      <c r="M100" s="362"/>
      <c r="N100" s="362"/>
      <c r="O100" s="362"/>
      <c r="P100" s="362"/>
      <c r="Q100" s="362"/>
      <c r="R100" s="9">
        <v>91</v>
      </c>
      <c r="S100" s="362"/>
    </row>
    <row r="101" spans="1:19">
      <c r="A101" s="450" t="str">
        <f t="shared" si="11"/>
        <v>May begin or end with a blank space</v>
      </c>
      <c r="B101" s="450"/>
      <c r="C101" s="450" t="s">
        <v>190</v>
      </c>
      <c r="D101" s="90" t="s">
        <v>191</v>
      </c>
      <c r="E101" s="552" t="str">
        <f t="shared" si="12"/>
        <v xml:space="preserve">Compteur de kilométrage : </v>
      </c>
      <c r="F101" s="85">
        <f t="shared" si="13"/>
        <v>10</v>
      </c>
      <c r="G101" s="85">
        <f t="shared" si="14"/>
        <v>26</v>
      </c>
      <c r="H101" s="553" t="str">
        <f t="shared" si="15"/>
        <v>- -</v>
      </c>
      <c r="I101" s="554">
        <f t="shared" si="16"/>
        <v>1</v>
      </c>
      <c r="J101" s="554">
        <f t="shared" si="17"/>
        <v>1</v>
      </c>
      <c r="K101" s="362"/>
      <c r="L101" s="362"/>
      <c r="M101" s="362"/>
      <c r="N101" s="362"/>
      <c r="O101" s="362"/>
      <c r="P101" s="362"/>
      <c r="Q101" s="362"/>
      <c r="R101" s="9">
        <v>92</v>
      </c>
      <c r="S101" s="362"/>
    </row>
    <row r="102" spans="1:19">
      <c r="A102" s="450" t="str">
        <f t="shared" si="11"/>
        <v>- -</v>
      </c>
      <c r="B102" s="450"/>
      <c r="C102" s="562" t="s">
        <v>192</v>
      </c>
      <c r="D102" s="451" t="s">
        <v>193</v>
      </c>
      <c r="E102" s="552" t="str">
        <f>IF($G$3="F",IF(G102=0,"",D102),IF(F102=0,"",C102))</f>
        <v>Lecture du compteur à la fin du mois précédent</v>
      </c>
      <c r="F102" s="85">
        <f>LEN(C102)</f>
        <v>33</v>
      </c>
      <c r="G102" s="85">
        <f>LEN(D102)</f>
        <v>46</v>
      </c>
      <c r="H102" s="553" t="str">
        <f>IF(I102&lt;&gt;J102,"Check matching spaces at beginning or end","- -")</f>
        <v>- -</v>
      </c>
      <c r="I102" s="554">
        <f>F102-LEN(TRIM(C102))</f>
        <v>0</v>
      </c>
      <c r="J102" s="554">
        <f>G102-LEN(TRIM(D102))</f>
        <v>0</v>
      </c>
      <c r="K102" s="362"/>
      <c r="L102" s="362"/>
      <c r="M102" s="362"/>
      <c r="N102" s="362"/>
      <c r="O102" s="362"/>
      <c r="P102" s="362"/>
      <c r="Q102" s="362"/>
      <c r="R102" s="9"/>
      <c r="S102" s="362"/>
    </row>
    <row r="103" spans="1:19">
      <c r="A103" s="450" t="str">
        <f t="shared" si="11"/>
        <v>- -</v>
      </c>
      <c r="B103" s="450"/>
      <c r="C103" s="450" t="s">
        <v>194</v>
      </c>
      <c r="D103" s="90" t="s">
        <v>194</v>
      </c>
      <c r="E103" s="552" t="str">
        <f t="shared" si="12"/>
        <v>ok</v>
      </c>
      <c r="F103" s="85">
        <f t="shared" si="13"/>
        <v>2</v>
      </c>
      <c r="G103" s="85">
        <f t="shared" si="14"/>
        <v>2</v>
      </c>
      <c r="H103" s="553" t="str">
        <f t="shared" si="15"/>
        <v>- -</v>
      </c>
      <c r="I103" s="554">
        <f t="shared" si="16"/>
        <v>0</v>
      </c>
      <c r="J103" s="554">
        <f t="shared" si="17"/>
        <v>0</v>
      </c>
      <c r="K103" s="362"/>
      <c r="L103" s="362"/>
      <c r="M103" s="362"/>
      <c r="N103" s="362"/>
      <c r="O103" s="362"/>
      <c r="P103" s="362"/>
      <c r="Q103" s="362"/>
      <c r="R103" s="9">
        <v>93</v>
      </c>
      <c r="S103" s="362"/>
    </row>
    <row r="104" spans="1:19">
      <c r="A104" s="450" t="str">
        <f t="shared" si="11"/>
        <v>May begin or end with a blank space</v>
      </c>
      <c r="B104" s="450"/>
      <c r="C104" s="450" t="s">
        <v>195</v>
      </c>
      <c r="D104" s="90" t="s">
        <v>196</v>
      </c>
      <c r="E104" s="552" t="str">
        <f t="shared" si="12"/>
        <v xml:space="preserve">◄ ◄ ◄ Seulement </v>
      </c>
      <c r="F104" s="85">
        <f t="shared" si="13"/>
        <v>11</v>
      </c>
      <c r="G104" s="85">
        <f t="shared" si="14"/>
        <v>16</v>
      </c>
      <c r="H104" s="553" t="str">
        <f t="shared" si="15"/>
        <v>- -</v>
      </c>
      <c r="I104" s="554">
        <f t="shared" si="16"/>
        <v>1</v>
      </c>
      <c r="J104" s="554">
        <f t="shared" si="17"/>
        <v>1</v>
      </c>
      <c r="K104" s="362"/>
      <c r="L104" s="362"/>
      <c r="M104" s="362"/>
      <c r="N104" s="362"/>
      <c r="O104" s="362"/>
      <c r="P104" s="362"/>
      <c r="Q104" s="362"/>
      <c r="R104" s="9">
        <v>94</v>
      </c>
      <c r="S104" s="362"/>
    </row>
    <row r="105" spans="1:19" ht="26.4">
      <c r="A105" s="450" t="str">
        <f t="shared" si="11"/>
        <v>- -</v>
      </c>
      <c r="B105" s="450"/>
      <c r="C105" s="450" t="s">
        <v>197</v>
      </c>
      <c r="D105" s="90" t="s">
        <v>198</v>
      </c>
      <c r="E105" s="552" t="str">
        <f t="shared" si="12"/>
        <v>Autres frais d'exploitation (comme l'immatriculation et le permis)</v>
      </c>
      <c r="F105" s="85">
        <f t="shared" si="13"/>
        <v>54</v>
      </c>
      <c r="G105" s="85">
        <f t="shared" si="14"/>
        <v>66</v>
      </c>
      <c r="H105" s="553" t="str">
        <f t="shared" si="15"/>
        <v>- -</v>
      </c>
      <c r="I105" s="554">
        <f t="shared" si="16"/>
        <v>0</v>
      </c>
      <c r="J105" s="554">
        <f t="shared" si="17"/>
        <v>0</v>
      </c>
      <c r="K105" s="362"/>
      <c r="L105" s="362"/>
      <c r="M105" s="362"/>
      <c r="N105" s="362"/>
      <c r="O105" s="362"/>
      <c r="P105" s="362"/>
      <c r="Q105" s="362"/>
      <c r="R105" s="9">
        <v>95</v>
      </c>
      <c r="S105" s="362"/>
    </row>
    <row r="106" spans="1:19" ht="26.4">
      <c r="A106" s="450" t="str">
        <f t="shared" si="11"/>
        <v>- -</v>
      </c>
      <c r="B106" s="450"/>
      <c r="C106" s="450" t="s">
        <v>199</v>
      </c>
      <c r="D106" s="439" t="s">
        <v>200</v>
      </c>
      <c r="E106" s="552" t="str">
        <f t="shared" si="12"/>
        <v>Station-
nement</v>
      </c>
      <c r="F106" s="85">
        <f t="shared" si="13"/>
        <v>7</v>
      </c>
      <c r="G106" s="85">
        <f t="shared" si="14"/>
        <v>15</v>
      </c>
      <c r="H106" s="553" t="str">
        <f t="shared" si="15"/>
        <v>- -</v>
      </c>
      <c r="I106" s="554">
        <f t="shared" si="16"/>
        <v>0</v>
      </c>
      <c r="J106" s="554">
        <f t="shared" si="17"/>
        <v>0</v>
      </c>
      <c r="K106" s="362"/>
      <c r="L106" s="362"/>
      <c r="M106" s="362"/>
      <c r="N106" s="362"/>
      <c r="O106" s="362"/>
      <c r="P106" s="362"/>
      <c r="Q106" s="362"/>
      <c r="R106" s="9">
        <v>96</v>
      </c>
      <c r="S106" s="362"/>
    </row>
    <row r="107" spans="1:19">
      <c r="A107" s="450" t="str">
        <f t="shared" si="11"/>
        <v>May begin or end with a blank space</v>
      </c>
      <c r="B107" s="450"/>
      <c r="C107" s="450" t="s">
        <v>201</v>
      </c>
      <c r="D107" s="90" t="s">
        <v>202</v>
      </c>
      <c r="E107" s="552" t="str">
        <f t="shared" si="12"/>
        <v xml:space="preserve">(Paiements faits de </v>
      </c>
      <c r="F107" s="85">
        <f t="shared" si="13"/>
        <v>20</v>
      </c>
      <c r="G107" s="85">
        <f t="shared" si="14"/>
        <v>20</v>
      </c>
      <c r="H107" s="553" t="str">
        <f t="shared" si="15"/>
        <v>- -</v>
      </c>
      <c r="I107" s="554">
        <f t="shared" si="16"/>
        <v>1</v>
      </c>
      <c r="J107" s="554">
        <f t="shared" si="17"/>
        <v>1</v>
      </c>
      <c r="K107" s="362"/>
      <c r="L107" s="362"/>
      <c r="M107" s="362"/>
      <c r="N107" s="362"/>
      <c r="O107" s="362"/>
      <c r="P107" s="362"/>
      <c r="Q107" s="362"/>
      <c r="R107" s="9"/>
      <c r="S107" s="362"/>
    </row>
    <row r="108" spans="1:19">
      <c r="A108" s="450" t="str">
        <f t="shared" si="11"/>
        <v>- -</v>
      </c>
      <c r="B108" s="450"/>
      <c r="C108" s="450" t="s">
        <v>203</v>
      </c>
      <c r="D108" s="90" t="s">
        <v>204</v>
      </c>
      <c r="E108" s="552" t="str">
        <f t="shared" si="12"/>
        <v>Paiements à l'employeur</v>
      </c>
      <c r="F108" s="85">
        <f t="shared" si="13"/>
        <v>20</v>
      </c>
      <c r="G108" s="85">
        <f t="shared" si="14"/>
        <v>23</v>
      </c>
      <c r="H108" s="553" t="str">
        <f t="shared" si="15"/>
        <v>- -</v>
      </c>
      <c r="I108" s="554">
        <f t="shared" si="16"/>
        <v>0</v>
      </c>
      <c r="J108" s="554">
        <f t="shared" si="17"/>
        <v>0</v>
      </c>
      <c r="K108" s="362"/>
      <c r="L108" s="362"/>
      <c r="M108" s="362"/>
      <c r="N108" s="362"/>
      <c r="O108" s="362"/>
      <c r="P108" s="362"/>
      <c r="Q108" s="362"/>
      <c r="R108" s="9"/>
      <c r="S108" s="362"/>
    </row>
    <row r="109" spans="1:19" ht="39.6">
      <c r="A109" s="450" t="str">
        <f t="shared" si="11"/>
        <v>- -</v>
      </c>
      <c r="B109" s="450"/>
      <c r="C109" s="450" t="s">
        <v>205</v>
      </c>
      <c r="D109" s="90" t="s">
        <v>206</v>
      </c>
      <c r="E109" s="552" t="str">
        <f t="shared" si="12"/>
        <v>Inscrire ici les paiements faits à votre employeur dans l'année ou dans les 45 jours de la fin de l'année.</v>
      </c>
      <c r="F109" s="85">
        <f t="shared" si="13"/>
        <v>104</v>
      </c>
      <c r="G109" s="85">
        <f t="shared" si="14"/>
        <v>106</v>
      </c>
      <c r="H109" s="553" t="str">
        <f t="shared" si="15"/>
        <v>- -</v>
      </c>
      <c r="I109" s="554">
        <f t="shared" si="16"/>
        <v>0</v>
      </c>
      <c r="J109" s="554">
        <f t="shared" si="17"/>
        <v>0</v>
      </c>
      <c r="K109" s="362"/>
      <c r="L109" s="362"/>
      <c r="M109" s="362"/>
      <c r="N109" s="362"/>
      <c r="O109" s="362"/>
      <c r="P109" s="362"/>
      <c r="Q109" s="362"/>
      <c r="R109" s="9">
        <v>97</v>
      </c>
      <c r="S109" s="362"/>
    </row>
    <row r="110" spans="1:19">
      <c r="A110" s="450" t="str">
        <f t="shared" si="11"/>
        <v>- -</v>
      </c>
      <c r="B110" s="450"/>
      <c r="C110" s="450" t="s">
        <v>207</v>
      </c>
      <c r="D110" s="439" t="s">
        <v>208</v>
      </c>
      <c r="E110" s="552" t="str">
        <f t="shared" si="12"/>
        <v>km personnel</v>
      </c>
      <c r="F110" s="85">
        <f t="shared" si="13"/>
        <v>11</v>
      </c>
      <c r="G110" s="85">
        <f t="shared" si="14"/>
        <v>12</v>
      </c>
      <c r="H110" s="553" t="str">
        <f t="shared" si="15"/>
        <v>- -</v>
      </c>
      <c r="I110" s="554">
        <f t="shared" si="16"/>
        <v>0</v>
      </c>
      <c r="J110" s="554">
        <f t="shared" si="17"/>
        <v>0</v>
      </c>
      <c r="K110" s="362"/>
      <c r="L110" s="362"/>
      <c r="M110" s="362"/>
      <c r="N110" s="362"/>
      <c r="O110" s="362"/>
      <c r="P110" s="362"/>
      <c r="Q110" s="362"/>
      <c r="R110" s="9">
        <v>98</v>
      </c>
      <c r="S110" s="362"/>
    </row>
    <row r="111" spans="1:19">
      <c r="A111" s="450" t="str">
        <f t="shared" si="11"/>
        <v>- -</v>
      </c>
      <c r="B111" s="450"/>
      <c r="C111" s="450" t="s">
        <v>209</v>
      </c>
      <c r="D111" s="90" t="s">
        <v>210</v>
      </c>
      <c r="E111" s="552" t="str">
        <f t="shared" si="12"/>
        <v>Problème</v>
      </c>
      <c r="F111" s="85">
        <f t="shared" si="13"/>
        <v>7</v>
      </c>
      <c r="G111" s="85">
        <f t="shared" si="14"/>
        <v>8</v>
      </c>
      <c r="H111" s="553" t="str">
        <f t="shared" si="15"/>
        <v>- -</v>
      </c>
      <c r="I111" s="554">
        <f t="shared" si="16"/>
        <v>0</v>
      </c>
      <c r="J111" s="554">
        <f t="shared" si="17"/>
        <v>0</v>
      </c>
      <c r="K111" s="362"/>
      <c r="L111" s="362"/>
      <c r="M111" s="362"/>
      <c r="N111" s="362"/>
      <c r="O111" s="362"/>
      <c r="P111" s="362"/>
      <c r="Q111" s="362"/>
      <c r="R111" s="9">
        <v>99</v>
      </c>
      <c r="S111" s="362"/>
    </row>
    <row r="112" spans="1:19" ht="26.4">
      <c r="A112" s="450" t="str">
        <f t="shared" si="11"/>
        <v>- -</v>
      </c>
      <c r="B112" s="450"/>
      <c r="C112" s="562" t="s">
        <v>211</v>
      </c>
      <c r="D112" s="451" t="s">
        <v>212</v>
      </c>
      <c r="E112" s="552" t="str">
        <f t="shared" si="12"/>
        <v>A. 
But et notes</v>
      </c>
      <c r="F112" s="85">
        <f t="shared" si="13"/>
        <v>21</v>
      </c>
      <c r="G112" s="85">
        <f t="shared" si="14"/>
        <v>16</v>
      </c>
      <c r="H112" s="553" t="str">
        <f t="shared" si="15"/>
        <v>- -</v>
      </c>
      <c r="I112" s="554">
        <f t="shared" si="16"/>
        <v>0</v>
      </c>
      <c r="J112" s="554">
        <f t="shared" si="17"/>
        <v>0</v>
      </c>
      <c r="K112" s="362"/>
      <c r="L112" s="362"/>
      <c r="M112" s="362"/>
      <c r="N112" s="362"/>
      <c r="O112" s="362"/>
      <c r="P112" s="362"/>
      <c r="Q112" s="362"/>
      <c r="R112" s="9">
        <v>100</v>
      </c>
      <c r="S112" s="362"/>
    </row>
    <row r="113" spans="1:19">
      <c r="A113" s="450" t="str">
        <f t="shared" si="11"/>
        <v>- -</v>
      </c>
      <c r="B113" s="450"/>
      <c r="C113" s="450" t="s">
        <v>213</v>
      </c>
      <c r="D113" s="90" t="s">
        <v>214</v>
      </c>
      <c r="E113" s="552" t="str">
        <f t="shared" si="12"/>
        <v>Québec</v>
      </c>
      <c r="F113" s="85">
        <f t="shared" si="13"/>
        <v>6</v>
      </c>
      <c r="G113" s="85">
        <f t="shared" si="14"/>
        <v>6</v>
      </c>
      <c r="H113" s="553" t="str">
        <f t="shared" si="15"/>
        <v>- -</v>
      </c>
      <c r="I113" s="554">
        <f t="shared" si="16"/>
        <v>0</v>
      </c>
      <c r="J113" s="554">
        <f t="shared" si="17"/>
        <v>0</v>
      </c>
      <c r="K113" s="362"/>
      <c r="L113" s="362"/>
      <c r="M113" s="362"/>
      <c r="N113" s="362"/>
      <c r="O113" s="362"/>
      <c r="P113" s="362"/>
      <c r="Q113" s="362"/>
      <c r="R113" s="9">
        <v>101</v>
      </c>
      <c r="S113" s="362"/>
    </row>
    <row r="114" spans="1:19">
      <c r="A114" s="450" t="str">
        <f t="shared" si="11"/>
        <v>- -</v>
      </c>
      <c r="B114" s="450"/>
      <c r="C114" s="450" t="s">
        <v>215</v>
      </c>
      <c r="D114" s="90" t="s">
        <v>216</v>
      </c>
      <c r="E114" s="552" t="str">
        <f t="shared" si="12"/>
        <v>Remboursements de l'employeur</v>
      </c>
      <c r="F114" s="85">
        <f t="shared" si="13"/>
        <v>28</v>
      </c>
      <c r="G114" s="85">
        <f t="shared" si="14"/>
        <v>29</v>
      </c>
      <c r="H114" s="553" t="str">
        <f t="shared" si="15"/>
        <v>- -</v>
      </c>
      <c r="I114" s="554">
        <f t="shared" si="16"/>
        <v>0</v>
      </c>
      <c r="J114" s="554">
        <f t="shared" si="17"/>
        <v>0</v>
      </c>
      <c r="K114" s="362"/>
      <c r="L114" s="362"/>
      <c r="M114" s="362"/>
      <c r="N114" s="362"/>
      <c r="O114" s="362"/>
      <c r="P114" s="362"/>
      <c r="Q114" s="362"/>
      <c r="R114" s="9">
        <v>102</v>
      </c>
      <c r="S114" s="362"/>
    </row>
    <row r="115" spans="1:19">
      <c r="A115" s="450" t="str">
        <f t="shared" si="11"/>
        <v>- -</v>
      </c>
      <c r="B115" s="450"/>
      <c r="C115" s="450" t="s">
        <v>217</v>
      </c>
      <c r="D115" s="90" t="s">
        <v>218</v>
      </c>
      <c r="E115" s="552" t="str">
        <f t="shared" si="12"/>
        <v>Rangée</v>
      </c>
      <c r="F115" s="85">
        <f t="shared" si="13"/>
        <v>3</v>
      </c>
      <c r="G115" s="85">
        <f t="shared" si="14"/>
        <v>6</v>
      </c>
      <c r="H115" s="553" t="str">
        <f t="shared" si="15"/>
        <v>- -</v>
      </c>
      <c r="I115" s="554">
        <f t="shared" si="16"/>
        <v>0</v>
      </c>
      <c r="J115" s="554">
        <f t="shared" si="17"/>
        <v>0</v>
      </c>
      <c r="K115" s="362"/>
      <c r="L115" s="362"/>
      <c r="M115" s="362"/>
      <c r="N115" s="362"/>
      <c r="O115" s="362"/>
      <c r="P115" s="362"/>
      <c r="Q115" s="362"/>
      <c r="R115" s="9">
        <v>103</v>
      </c>
      <c r="S115" s="362"/>
    </row>
    <row r="116" spans="1:19">
      <c r="A116" s="450" t="str">
        <f t="shared" si="11"/>
        <v>- -</v>
      </c>
      <c r="B116" s="450"/>
      <c r="C116" s="450" t="s">
        <v>219</v>
      </c>
      <c r="D116" s="90" t="s">
        <v>220</v>
      </c>
      <c r="E116" s="552" t="str">
        <f t="shared" si="12"/>
        <v>Plus petit</v>
      </c>
      <c r="F116" s="85">
        <f t="shared" si="13"/>
        <v>8</v>
      </c>
      <c r="G116" s="85">
        <f t="shared" si="14"/>
        <v>10</v>
      </c>
      <c r="H116" s="553" t="str">
        <f t="shared" si="15"/>
        <v>- -</v>
      </c>
      <c r="I116" s="554">
        <f t="shared" si="16"/>
        <v>0</v>
      </c>
      <c r="J116" s="554">
        <f t="shared" si="17"/>
        <v>0</v>
      </c>
      <c r="K116" s="362"/>
      <c r="L116" s="362"/>
      <c r="M116" s="362"/>
      <c r="N116" s="362"/>
      <c r="O116" s="362"/>
      <c r="P116" s="362"/>
      <c r="Q116" s="362"/>
      <c r="R116" s="9">
        <v>104</v>
      </c>
      <c r="S116" s="362"/>
    </row>
    <row r="117" spans="1:19" ht="26.4">
      <c r="A117" s="450" t="str">
        <f t="shared" si="11"/>
        <v>- -</v>
      </c>
      <c r="B117" s="450"/>
      <c r="C117" s="450" t="s">
        <v>221</v>
      </c>
      <c r="D117" s="90" t="s">
        <v>222</v>
      </c>
      <c r="E117" s="552" t="str">
        <f t="shared" si="12"/>
        <v>Lecture de DÉBUT la moins élevée de toutes les voitures</v>
      </c>
      <c r="F117" s="85">
        <f t="shared" si="13"/>
        <v>34</v>
      </c>
      <c r="G117" s="85">
        <f t="shared" si="14"/>
        <v>55</v>
      </c>
      <c r="H117" s="553" t="str">
        <f t="shared" si="15"/>
        <v>- -</v>
      </c>
      <c r="I117" s="554">
        <f t="shared" si="16"/>
        <v>0</v>
      </c>
      <c r="J117" s="554">
        <f t="shared" si="17"/>
        <v>0</v>
      </c>
      <c r="K117" s="362"/>
      <c r="L117" s="362"/>
      <c r="M117" s="362"/>
      <c r="N117" s="362"/>
      <c r="O117" s="362"/>
      <c r="P117" s="362"/>
      <c r="Q117" s="362"/>
      <c r="R117" s="9">
        <v>105</v>
      </c>
      <c r="S117" s="362"/>
    </row>
    <row r="118" spans="1:19" ht="26.4">
      <c r="A118" s="450" t="str">
        <f t="shared" si="11"/>
        <v>- -</v>
      </c>
      <c r="B118" s="450"/>
      <c r="C118" s="450" t="s">
        <v>223</v>
      </c>
      <c r="D118" s="90" t="s">
        <v>224</v>
      </c>
      <c r="E118" s="552" t="str">
        <f t="shared" si="12"/>
        <v>Déplace- 
ment le plus petit en km</v>
      </c>
      <c r="F118" s="85">
        <f t="shared" si="13"/>
        <v>21</v>
      </c>
      <c r="G118" s="85">
        <f t="shared" si="14"/>
        <v>34</v>
      </c>
      <c r="H118" s="553" t="str">
        <f t="shared" si="15"/>
        <v>- -</v>
      </c>
      <c r="I118" s="554">
        <f t="shared" si="16"/>
        <v>0</v>
      </c>
      <c r="J118" s="554">
        <f t="shared" si="17"/>
        <v>0</v>
      </c>
      <c r="K118" s="362"/>
      <c r="L118" s="362"/>
      <c r="M118" s="362"/>
      <c r="N118" s="362"/>
      <c r="O118" s="362"/>
      <c r="P118" s="362"/>
      <c r="Q118" s="362"/>
      <c r="R118" s="9">
        <v>106</v>
      </c>
      <c r="S118" s="362"/>
    </row>
    <row r="119" spans="1:19" ht="26.4">
      <c r="A119" s="450" t="str">
        <f t="shared" si="11"/>
        <v>- -</v>
      </c>
      <c r="B119" s="450"/>
      <c r="C119" s="450" t="s">
        <v>225</v>
      </c>
      <c r="D119" s="90" t="s">
        <v>226</v>
      </c>
      <c r="E119" s="552" t="str">
        <f t="shared" si="12"/>
        <v>Notes
spéciales :</v>
      </c>
      <c r="F119" s="85">
        <f t="shared" si="13"/>
        <v>14</v>
      </c>
      <c r="G119" s="85">
        <f t="shared" si="14"/>
        <v>17</v>
      </c>
      <c r="H119" s="553" t="str">
        <f t="shared" si="15"/>
        <v>- -</v>
      </c>
      <c r="I119" s="554">
        <f t="shared" si="16"/>
        <v>0</v>
      </c>
      <c r="J119" s="554">
        <f t="shared" si="17"/>
        <v>0</v>
      </c>
      <c r="K119" s="362"/>
      <c r="L119" s="362"/>
      <c r="M119" s="362"/>
      <c r="N119" s="362"/>
      <c r="O119" s="362"/>
      <c r="P119" s="362"/>
      <c r="Q119" s="362"/>
      <c r="R119" s="9">
        <v>107</v>
      </c>
      <c r="S119" s="362"/>
    </row>
    <row r="120" spans="1:19">
      <c r="A120" s="450" t="str">
        <f t="shared" si="11"/>
        <v>- -</v>
      </c>
      <c r="B120" s="450"/>
      <c r="C120" s="450" t="s">
        <v>227</v>
      </c>
      <c r="D120" s="90" t="s">
        <v>228</v>
      </c>
      <c r="E120" s="552" t="str">
        <f t="shared" si="12"/>
        <v>Notes spéciales :</v>
      </c>
      <c r="F120" s="85">
        <f t="shared" si="13"/>
        <v>14</v>
      </c>
      <c r="G120" s="85">
        <f t="shared" si="14"/>
        <v>17</v>
      </c>
      <c r="H120" s="553" t="str">
        <f t="shared" si="15"/>
        <v>- -</v>
      </c>
      <c r="I120" s="554">
        <f t="shared" si="16"/>
        <v>0</v>
      </c>
      <c r="J120" s="554">
        <f t="shared" si="17"/>
        <v>0</v>
      </c>
      <c r="K120" s="362"/>
      <c r="L120" s="362"/>
      <c r="M120" s="362"/>
      <c r="N120" s="362"/>
      <c r="O120" s="362"/>
      <c r="P120" s="362"/>
      <c r="Q120" s="362"/>
      <c r="R120" s="9">
        <v>108</v>
      </c>
      <c r="S120" s="362"/>
    </row>
    <row r="121" spans="1:19">
      <c r="A121" s="450" t="str">
        <f t="shared" si="11"/>
        <v>- -</v>
      </c>
      <c r="B121" s="450"/>
      <c r="C121" s="450" t="s">
        <v>229</v>
      </c>
      <c r="D121" s="90" t="s">
        <v>230</v>
      </c>
      <c r="E121" s="552" t="str">
        <f t="shared" si="12"/>
        <v>Début</v>
      </c>
      <c r="F121" s="85">
        <f t="shared" si="13"/>
        <v>5</v>
      </c>
      <c r="G121" s="85">
        <f t="shared" si="14"/>
        <v>5</v>
      </c>
      <c r="H121" s="553" t="str">
        <f t="shared" si="15"/>
        <v>- -</v>
      </c>
      <c r="I121" s="554">
        <f t="shared" si="16"/>
        <v>0</v>
      </c>
      <c r="J121" s="554">
        <f t="shared" si="17"/>
        <v>0</v>
      </c>
      <c r="K121" s="362"/>
      <c r="L121" s="362"/>
      <c r="M121" s="362"/>
      <c r="N121" s="362"/>
      <c r="O121" s="362"/>
      <c r="P121" s="362"/>
      <c r="Q121" s="362"/>
      <c r="R121" s="9">
        <v>109</v>
      </c>
      <c r="S121" s="362"/>
    </row>
    <row r="122" spans="1:19" ht="26.4">
      <c r="A122" s="450" t="str">
        <f t="shared" si="11"/>
        <v>- -</v>
      </c>
      <c r="B122" s="450"/>
      <c r="C122" s="450" t="s">
        <v>231</v>
      </c>
      <c r="D122" s="90" t="s">
        <v>232</v>
      </c>
      <c r="E122" s="552" t="str">
        <f t="shared" si="12"/>
        <v>DÉBUT
excède la plus petite lecture du mois</v>
      </c>
      <c r="F122" s="85">
        <f t="shared" si="13"/>
        <v>43</v>
      </c>
      <c r="G122" s="85">
        <f t="shared" si="14"/>
        <v>43</v>
      </c>
      <c r="H122" s="553" t="str">
        <f t="shared" si="15"/>
        <v>- -</v>
      </c>
      <c r="I122" s="554">
        <f t="shared" si="16"/>
        <v>0</v>
      </c>
      <c r="J122" s="554">
        <f t="shared" si="17"/>
        <v>0</v>
      </c>
      <c r="K122" s="362"/>
      <c r="L122" s="362"/>
      <c r="M122" s="362"/>
      <c r="N122" s="362"/>
      <c r="O122" s="362"/>
      <c r="P122" s="362"/>
      <c r="Q122" s="362"/>
      <c r="R122" s="9">
        <v>110</v>
      </c>
      <c r="S122" s="362"/>
    </row>
    <row r="123" spans="1:19" ht="39.6">
      <c r="A123" s="450" t="str">
        <f t="shared" si="11"/>
        <v>- -</v>
      </c>
      <c r="B123" s="450"/>
      <c r="C123" s="450" t="s">
        <v>233</v>
      </c>
      <c r="D123" s="90" t="s">
        <v>234</v>
      </c>
      <c r="E123" s="552" t="str">
        <f t="shared" si="12"/>
        <v>DÉBUT
ne concorde pas avec la FIN du mois précédent</v>
      </c>
      <c r="F123" s="85">
        <f t="shared" si="13"/>
        <v>42</v>
      </c>
      <c r="G123" s="85">
        <f t="shared" si="14"/>
        <v>51</v>
      </c>
      <c r="H123" s="553" t="str">
        <f t="shared" si="15"/>
        <v>- -</v>
      </c>
      <c r="I123" s="554">
        <f t="shared" si="16"/>
        <v>0</v>
      </c>
      <c r="J123" s="554">
        <f t="shared" si="17"/>
        <v>0</v>
      </c>
      <c r="K123" s="362"/>
      <c r="L123" s="362"/>
      <c r="M123" s="362"/>
      <c r="N123" s="362"/>
      <c r="O123" s="362"/>
      <c r="P123" s="362"/>
      <c r="Q123" s="362"/>
      <c r="R123" s="9">
        <v>111</v>
      </c>
      <c r="S123" s="362"/>
    </row>
    <row r="124" spans="1:19">
      <c r="A124" s="450" t="str">
        <f t="shared" si="11"/>
        <v>- -</v>
      </c>
      <c r="B124" s="450"/>
      <c r="C124" s="450"/>
      <c r="D124" s="90"/>
      <c r="E124" s="552" t="str">
        <f t="shared" si="12"/>
        <v/>
      </c>
      <c r="F124" s="85">
        <f t="shared" si="13"/>
        <v>0</v>
      </c>
      <c r="G124" s="85">
        <f t="shared" si="14"/>
        <v>0</v>
      </c>
      <c r="H124" s="553" t="str">
        <f t="shared" si="15"/>
        <v>- -</v>
      </c>
      <c r="I124" s="554">
        <f t="shared" si="16"/>
        <v>0</v>
      </c>
      <c r="J124" s="554">
        <f t="shared" si="17"/>
        <v>0</v>
      </c>
      <c r="K124" s="362"/>
      <c r="L124" s="362"/>
      <c r="M124" s="362"/>
      <c r="N124" s="362"/>
      <c r="O124" s="362"/>
      <c r="P124" s="362"/>
      <c r="Q124" s="362"/>
      <c r="R124" s="9">
        <v>112</v>
      </c>
      <c r="S124" s="362"/>
    </row>
    <row r="125" spans="1:19">
      <c r="A125" s="450" t="str">
        <f t="shared" si="11"/>
        <v>- -</v>
      </c>
      <c r="B125" s="450"/>
      <c r="C125" s="450" t="s">
        <v>235</v>
      </c>
      <c r="D125" s="90" t="s">
        <v>236</v>
      </c>
      <c r="E125" s="552" t="str">
        <f t="shared" si="12"/>
        <v>avantage imposable peut être réduit</v>
      </c>
      <c r="F125" s="85">
        <f t="shared" si="13"/>
        <v>30</v>
      </c>
      <c r="G125" s="85">
        <f t="shared" si="14"/>
        <v>35</v>
      </c>
      <c r="H125" s="553" t="str">
        <f t="shared" si="15"/>
        <v>- -</v>
      </c>
      <c r="I125" s="554">
        <f t="shared" si="16"/>
        <v>0</v>
      </c>
      <c r="J125" s="554">
        <f t="shared" si="17"/>
        <v>0</v>
      </c>
      <c r="K125" s="362"/>
      <c r="L125" s="362"/>
      <c r="M125" s="362"/>
      <c r="N125" s="362"/>
      <c r="O125" s="362"/>
      <c r="P125" s="362"/>
      <c r="Q125" s="362"/>
      <c r="R125" s="9">
        <v>113</v>
      </c>
      <c r="S125" s="362"/>
    </row>
    <row r="126" spans="1:19">
      <c r="A126" s="450" t="str">
        <f t="shared" si="11"/>
        <v>- -</v>
      </c>
      <c r="B126" s="450"/>
      <c r="C126" s="450" t="s">
        <v>237</v>
      </c>
      <c r="D126" s="90" t="s">
        <v>237</v>
      </c>
      <c r="E126" s="552" t="str">
        <f t="shared" si="12"/>
        <v>Total</v>
      </c>
      <c r="F126" s="85">
        <f t="shared" si="13"/>
        <v>5</v>
      </c>
      <c r="G126" s="85">
        <f t="shared" si="14"/>
        <v>5</v>
      </c>
      <c r="H126" s="553" t="str">
        <f t="shared" si="15"/>
        <v>- -</v>
      </c>
      <c r="I126" s="554">
        <f t="shared" si="16"/>
        <v>0</v>
      </c>
      <c r="J126" s="554">
        <f t="shared" si="17"/>
        <v>0</v>
      </c>
      <c r="K126" s="362"/>
      <c r="L126" s="362"/>
      <c r="M126" s="362"/>
      <c r="N126" s="362"/>
      <c r="O126" s="362"/>
      <c r="P126" s="362"/>
      <c r="Q126" s="362"/>
      <c r="R126" s="9">
        <v>114</v>
      </c>
      <c r="S126" s="362"/>
    </row>
    <row r="127" spans="1:19">
      <c r="A127" s="450" t="str">
        <f t="shared" si="11"/>
        <v>- -</v>
      </c>
      <c r="B127" s="450"/>
      <c r="C127" s="450" t="s">
        <v>238</v>
      </c>
      <c r="D127" s="90" t="s">
        <v>239</v>
      </c>
      <c r="E127" s="552" t="str">
        <f t="shared" si="12"/>
        <v>Totaux</v>
      </c>
      <c r="F127" s="85">
        <f t="shared" si="13"/>
        <v>6</v>
      </c>
      <c r="G127" s="85">
        <f t="shared" si="14"/>
        <v>6</v>
      </c>
      <c r="H127" s="553" t="str">
        <f t="shared" si="15"/>
        <v>- -</v>
      </c>
      <c r="I127" s="554">
        <f t="shared" si="16"/>
        <v>0</v>
      </c>
      <c r="J127" s="554">
        <f t="shared" si="17"/>
        <v>0</v>
      </c>
      <c r="K127" s="362"/>
      <c r="L127" s="362"/>
      <c r="M127" s="362"/>
      <c r="N127" s="362"/>
      <c r="O127" s="362"/>
      <c r="P127" s="362"/>
      <c r="Q127" s="362"/>
      <c r="R127" s="9">
        <v>114</v>
      </c>
      <c r="S127" s="362"/>
    </row>
    <row r="128" spans="1:19">
      <c r="A128" s="450" t="str">
        <f t="shared" si="11"/>
        <v>- -</v>
      </c>
      <c r="B128" s="450"/>
      <c r="C128" s="450" t="s">
        <v>240</v>
      </c>
      <c r="D128" s="90" t="s">
        <v>241</v>
      </c>
      <c r="E128" s="552" t="str">
        <f t="shared" si="12"/>
        <v>Total des sommaires mensuels</v>
      </c>
      <c r="F128" s="85">
        <f t="shared" si="13"/>
        <v>26</v>
      </c>
      <c r="G128" s="85">
        <f t="shared" si="14"/>
        <v>28</v>
      </c>
      <c r="H128" s="553" t="str">
        <f t="shared" si="15"/>
        <v>- -</v>
      </c>
      <c r="I128" s="554">
        <f t="shared" si="16"/>
        <v>0</v>
      </c>
      <c r="J128" s="554">
        <f t="shared" si="17"/>
        <v>0</v>
      </c>
      <c r="K128" s="362"/>
      <c r="L128" s="362"/>
      <c r="M128" s="362"/>
      <c r="N128" s="362"/>
      <c r="O128" s="362"/>
      <c r="P128" s="362"/>
      <c r="Q128" s="362"/>
      <c r="R128" s="9">
        <v>115</v>
      </c>
      <c r="S128" s="362"/>
    </row>
    <row r="129" spans="1:19">
      <c r="A129" s="450" t="str">
        <f t="shared" si="11"/>
        <v>- -</v>
      </c>
      <c r="B129" s="450"/>
      <c r="C129" s="450"/>
      <c r="D129" s="450"/>
      <c r="E129" s="552" t="str">
        <f t="shared" si="12"/>
        <v/>
      </c>
      <c r="F129" s="85">
        <f t="shared" si="13"/>
        <v>0</v>
      </c>
      <c r="G129" s="85">
        <f t="shared" si="14"/>
        <v>0</v>
      </c>
      <c r="H129" s="553" t="str">
        <f t="shared" si="15"/>
        <v>- -</v>
      </c>
      <c r="I129" s="554">
        <f t="shared" si="16"/>
        <v>0</v>
      </c>
      <c r="J129" s="554">
        <f t="shared" si="17"/>
        <v>0</v>
      </c>
      <c r="K129" s="362"/>
      <c r="L129" s="362"/>
      <c r="M129" s="362"/>
      <c r="N129" s="362"/>
      <c r="O129" s="362"/>
      <c r="P129" s="362"/>
      <c r="Q129" s="362"/>
      <c r="R129" s="9">
        <v>116</v>
      </c>
      <c r="S129" s="362"/>
    </row>
    <row r="130" spans="1:19">
      <c r="A130" s="450" t="str">
        <f t="shared" si="11"/>
        <v>- -</v>
      </c>
      <c r="B130" s="450"/>
      <c r="C130" s="450"/>
      <c r="D130" s="450"/>
      <c r="E130" s="552" t="str">
        <f t="shared" si="12"/>
        <v/>
      </c>
      <c r="F130" s="85">
        <f t="shared" si="13"/>
        <v>0</v>
      </c>
      <c r="G130" s="85">
        <f t="shared" si="14"/>
        <v>0</v>
      </c>
      <c r="H130" s="553" t="str">
        <f t="shared" si="15"/>
        <v>- -</v>
      </c>
      <c r="I130" s="554">
        <f t="shared" si="16"/>
        <v>0</v>
      </c>
      <c r="J130" s="554">
        <f t="shared" si="17"/>
        <v>0</v>
      </c>
      <c r="K130" s="362"/>
      <c r="L130" s="362"/>
      <c r="M130" s="362"/>
      <c r="N130" s="362"/>
      <c r="O130" s="362"/>
      <c r="P130" s="362"/>
      <c r="Q130" s="362"/>
      <c r="R130" s="9">
        <v>117</v>
      </c>
      <c r="S130" s="362"/>
    </row>
    <row r="131" spans="1:19">
      <c r="A131" s="450" t="str">
        <f t="shared" si="11"/>
        <v>- -</v>
      </c>
      <c r="B131" s="450"/>
      <c r="C131" s="450"/>
      <c r="D131" s="450"/>
      <c r="E131" s="552" t="str">
        <f t="shared" si="12"/>
        <v/>
      </c>
      <c r="F131" s="85">
        <f t="shared" si="13"/>
        <v>0</v>
      </c>
      <c r="G131" s="85">
        <f t="shared" si="14"/>
        <v>0</v>
      </c>
      <c r="H131" s="553" t="str">
        <f t="shared" si="15"/>
        <v>- -</v>
      </c>
      <c r="I131" s="554">
        <f t="shared" si="16"/>
        <v>0</v>
      </c>
      <c r="J131" s="554">
        <f t="shared" si="17"/>
        <v>0</v>
      </c>
      <c r="K131" s="362"/>
      <c r="L131" s="362"/>
      <c r="M131" s="362"/>
      <c r="N131" s="362"/>
      <c r="O131" s="362"/>
      <c r="P131" s="362"/>
      <c r="Q131" s="362"/>
      <c r="R131" s="9">
        <v>118</v>
      </c>
      <c r="S131" s="362"/>
    </row>
    <row r="132" spans="1:19">
      <c r="A132" s="450" t="str">
        <f t="shared" si="11"/>
        <v>- -</v>
      </c>
      <c r="B132" s="450"/>
      <c r="C132" s="450"/>
      <c r="D132" s="450"/>
      <c r="E132" s="552" t="str">
        <f t="shared" si="12"/>
        <v/>
      </c>
      <c r="F132" s="85">
        <f t="shared" si="13"/>
        <v>0</v>
      </c>
      <c r="G132" s="85">
        <f t="shared" si="14"/>
        <v>0</v>
      </c>
      <c r="H132" s="553" t="str">
        <f t="shared" si="15"/>
        <v>- -</v>
      </c>
      <c r="I132" s="554">
        <f t="shared" si="16"/>
        <v>0</v>
      </c>
      <c r="J132" s="554">
        <f t="shared" si="17"/>
        <v>0</v>
      </c>
      <c r="K132" s="362"/>
      <c r="L132" s="362"/>
      <c r="M132" s="362"/>
      <c r="N132" s="362"/>
      <c r="O132" s="362"/>
      <c r="P132" s="362"/>
      <c r="Q132" s="362"/>
      <c r="R132" s="9">
        <v>119</v>
      </c>
      <c r="S132" s="362"/>
    </row>
    <row r="133" spans="1:19" ht="176.25" customHeight="1">
      <c r="A133" s="450" t="str">
        <f t="shared" si="11"/>
        <v>- -</v>
      </c>
      <c r="B133" s="450"/>
      <c r="C133" s="537" t="str">
        <f>"© "&amp;Year_four_digits&amp;" PricewaterhouseCoopers LLP, an Ontario limited liability partnership. All rights reserved. 
"&amp;C166</f>
        <v>© 2026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538" t="str">
        <f>"© PricewaterhouseCoopers LLP/s.r.l./s.e.n.c.r.l., une société à responsabilité limitée de l’Ontario, "&amp;Year_four_digits&amp;". Tous droits réservés.
"&amp;D166</f>
        <v>©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552" t="str">
        <f t="shared" si="12"/>
        <v>©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33" s="85">
        <f t="shared" si="13"/>
        <v>421</v>
      </c>
      <c r="G133" s="85">
        <f t="shared" si="14"/>
        <v>512</v>
      </c>
      <c r="H133" s="553" t="str">
        <f t="shared" si="15"/>
        <v>- -</v>
      </c>
      <c r="I133" s="554">
        <f t="shared" si="16"/>
        <v>0</v>
      </c>
      <c r="J133" s="554">
        <f t="shared" si="17"/>
        <v>0</v>
      </c>
      <c r="K133" s="362"/>
      <c r="L133" s="362"/>
      <c r="M133" s="362"/>
      <c r="N133" s="362"/>
      <c r="O133" s="362"/>
      <c r="P133" s="362"/>
      <c r="Q133" s="362"/>
      <c r="R133" s="9">
        <v>120</v>
      </c>
      <c r="S133" s="362"/>
    </row>
    <row r="134" spans="1:19" ht="26.4">
      <c r="A134" s="450" t="str">
        <f t="shared" si="11"/>
        <v>- -</v>
      </c>
      <c r="B134" s="450"/>
      <c r="C134" s="450" t="s">
        <v>242</v>
      </c>
      <c r="D134" s="90" t="s">
        <v>243</v>
      </c>
      <c r="E134" s="552" t="str">
        <f t="shared" si="12"/>
        <v>pour indiquer (ci-dessous) les jours pour lesquels l'automobile n'est pas disponible.</v>
      </c>
      <c r="F134" s="85">
        <f t="shared" si="13"/>
        <v>66</v>
      </c>
      <c r="G134" s="85">
        <f t="shared" si="14"/>
        <v>85</v>
      </c>
      <c r="H134" s="553" t="str">
        <f t="shared" si="15"/>
        <v>- -</v>
      </c>
      <c r="I134" s="554">
        <f t="shared" si="16"/>
        <v>0</v>
      </c>
      <c r="J134" s="554">
        <f t="shared" si="17"/>
        <v>0</v>
      </c>
      <c r="K134" s="362"/>
      <c r="L134" s="362"/>
      <c r="M134" s="362"/>
      <c r="N134" s="362"/>
      <c r="O134" s="362"/>
      <c r="P134" s="362"/>
      <c r="Q134" s="362"/>
      <c r="R134" s="9">
        <v>121</v>
      </c>
      <c r="S134" s="362"/>
    </row>
    <row r="135" spans="1:19">
      <c r="A135" s="450" t="str">
        <f t="shared" ref="A135:A184" si="18">IF(LEN(C135)-LEN(TRIM(C135))&gt;0,"May begin or end with a blank space","- -")</f>
        <v>- -</v>
      </c>
      <c r="B135" s="450"/>
      <c r="C135" s="450" t="s">
        <v>240</v>
      </c>
      <c r="D135" s="90" t="s">
        <v>241</v>
      </c>
      <c r="E135" s="552" t="str">
        <f t="shared" ref="E135:E184" si="19">IF($G$3="F",IF(G135=0,"",D135),IF(F135=0,"",C135))</f>
        <v>Total des sommaires mensuels</v>
      </c>
      <c r="F135" s="85">
        <f t="shared" ref="F135:F184" si="20">LEN(C135)</f>
        <v>26</v>
      </c>
      <c r="G135" s="85">
        <f t="shared" ref="G135:G184" si="21">LEN(D135)</f>
        <v>28</v>
      </c>
      <c r="H135" s="553" t="str">
        <f t="shared" ref="H135:H184" si="22">IF(I135&lt;&gt;J135,"Check matching spaces at beginning or end","- -")</f>
        <v>- -</v>
      </c>
      <c r="I135" s="554">
        <f t="shared" ref="I135:I184" si="23">F135-LEN(TRIM(C135))</f>
        <v>0</v>
      </c>
      <c r="J135" s="554">
        <f t="shared" ref="J135:J184" si="24">G135-LEN(TRIM(D135))</f>
        <v>0</v>
      </c>
      <c r="K135" s="362"/>
      <c r="L135" s="362"/>
      <c r="M135" s="362"/>
      <c r="N135" s="362"/>
      <c r="O135" s="362"/>
      <c r="P135" s="362"/>
      <c r="Q135" s="362"/>
      <c r="R135" s="9">
        <v>122</v>
      </c>
      <c r="S135" s="362"/>
    </row>
    <row r="136" spans="1:19" ht="26.4">
      <c r="A136" s="450" t="str">
        <f t="shared" si="18"/>
        <v>- -</v>
      </c>
      <c r="B136" s="450"/>
      <c r="C136" s="450" t="s">
        <v>244</v>
      </c>
      <c r="D136" s="90" t="s">
        <v>245</v>
      </c>
      <c r="E136" s="552" t="str">
        <f t="shared" si="19"/>
        <v>Saisir les données dans les cellules jaunes ou ambres.</v>
      </c>
      <c r="F136" s="85">
        <f t="shared" si="20"/>
        <v>34</v>
      </c>
      <c r="G136" s="85">
        <f t="shared" si="21"/>
        <v>54</v>
      </c>
      <c r="H136" s="553" t="str">
        <f t="shared" si="22"/>
        <v>- -</v>
      </c>
      <c r="I136" s="554">
        <f t="shared" si="23"/>
        <v>0</v>
      </c>
      <c r="J136" s="554">
        <f t="shared" si="24"/>
        <v>0</v>
      </c>
      <c r="K136" s="362"/>
      <c r="L136" s="362"/>
      <c r="M136" s="362"/>
      <c r="N136" s="362"/>
      <c r="O136" s="362"/>
      <c r="P136" s="362"/>
      <c r="Q136" s="362"/>
      <c r="R136" s="9">
        <v>123</v>
      </c>
      <c r="S136" s="362"/>
    </row>
    <row r="137" spans="1:19" ht="66">
      <c r="A137" s="450" t="str">
        <f t="shared" si="18"/>
        <v>- -</v>
      </c>
      <c r="B137" s="450"/>
      <c r="C137" s="450" t="str">
        <f>"Type in yellow or amber cells only in all worksheets. Start by entering the year, below. ("&amp;Year_four_digits&amp;" shows when no year has been entered.)"</f>
        <v>Type in yellow or amber cells only in all worksheets. Start by entering the year, below. (2026 shows when no year has been entered.)</v>
      </c>
      <c r="D137" s="9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(2026 est affiché lorsqu'aucune année n'a été entrée.)</v>
      </c>
      <c r="E137" s="552" t="str">
        <f t="shared" si="19"/>
        <v>Dans toutes les feuilles de calcul, saisir les données dans les cellules jaunes ou ambres seulement. Commencez par entrer l'année ci-dessous (2026 est affiché lorsqu'aucune année n'a été entrée.)</v>
      </c>
      <c r="F137" s="85">
        <f t="shared" si="20"/>
        <v>132</v>
      </c>
      <c r="G137" s="85">
        <f t="shared" si="21"/>
        <v>195</v>
      </c>
      <c r="H137" s="553" t="str">
        <f t="shared" si="22"/>
        <v>- -</v>
      </c>
      <c r="I137" s="554">
        <f t="shared" si="23"/>
        <v>0</v>
      </c>
      <c r="J137" s="554">
        <f t="shared" si="24"/>
        <v>0</v>
      </c>
      <c r="K137" s="362"/>
      <c r="L137" s="362"/>
      <c r="M137" s="362"/>
      <c r="N137" s="362"/>
      <c r="O137" s="362"/>
      <c r="P137" s="362"/>
      <c r="Q137" s="362"/>
      <c r="R137" s="9">
        <v>124</v>
      </c>
      <c r="S137" s="362"/>
    </row>
    <row r="138" spans="1:19">
      <c r="A138" s="450" t="str">
        <f t="shared" si="18"/>
        <v>- -</v>
      </c>
      <c r="B138" s="450"/>
      <c r="C138" s="450" t="s">
        <v>246</v>
      </c>
      <c r="D138" s="90" t="s">
        <v>247</v>
      </c>
      <c r="E138" s="552" t="str">
        <f t="shared" si="19"/>
        <v>Non disponible pour le mois</v>
      </c>
      <c r="F138" s="85">
        <f t="shared" si="20"/>
        <v>21</v>
      </c>
      <c r="G138" s="85">
        <f t="shared" si="21"/>
        <v>27</v>
      </c>
      <c r="H138" s="553" t="str">
        <f t="shared" si="22"/>
        <v>- -</v>
      </c>
      <c r="I138" s="554">
        <f t="shared" si="23"/>
        <v>0</v>
      </c>
      <c r="J138" s="554">
        <f t="shared" si="24"/>
        <v>0</v>
      </c>
      <c r="K138" s="362"/>
      <c r="L138" s="362"/>
      <c r="M138" s="362"/>
      <c r="N138" s="362"/>
      <c r="O138" s="362"/>
      <c r="P138" s="362"/>
      <c r="Q138" s="362"/>
      <c r="R138" s="9">
        <v>125</v>
      </c>
      <c r="S138" s="362"/>
    </row>
    <row r="139" spans="1:19" ht="52.8">
      <c r="A139" s="450" t="str">
        <f t="shared" si="18"/>
        <v>- -</v>
      </c>
      <c r="B139" s="450"/>
      <c r="C139" s="450" t="s">
        <v>248</v>
      </c>
      <c r="D139" s="439" t="s">
        <v>249</v>
      </c>
      <c r="E139" s="552" t="str">
        <f>IF($G$3="F",IF(G139=0,"",D139),IF(F139=0,"",C139))</f>
        <v>À l'exception du Québec, les travailleurs autonomes peuvent utiliser, dans certains cas, un registre pour une période représentative pour étayer les calculs des frais d'un véhicule.</v>
      </c>
      <c r="F139" s="85">
        <f t="shared" si="20"/>
        <v>156</v>
      </c>
      <c r="G139" s="85">
        <f t="shared" si="21"/>
        <v>181</v>
      </c>
      <c r="H139" s="553" t="str">
        <f t="shared" si="22"/>
        <v>- -</v>
      </c>
      <c r="I139" s="554">
        <f t="shared" si="23"/>
        <v>0</v>
      </c>
      <c r="J139" s="554">
        <f t="shared" si="24"/>
        <v>0</v>
      </c>
      <c r="K139" s="362"/>
      <c r="L139" s="362"/>
      <c r="M139" s="362"/>
      <c r="N139" s="362"/>
      <c r="O139" s="362"/>
      <c r="P139" s="362"/>
      <c r="Q139" s="362"/>
      <c r="R139" s="9">
        <v>126</v>
      </c>
      <c r="S139" s="362"/>
    </row>
    <row r="140" spans="1:19">
      <c r="A140" s="450" t="str">
        <f t="shared" si="18"/>
        <v>- -</v>
      </c>
      <c r="B140" s="450"/>
      <c r="C140" s="450" t="s">
        <v>250</v>
      </c>
      <c r="D140" s="90" t="s">
        <v>251</v>
      </c>
      <c r="E140" s="552" t="str">
        <f t="shared" si="19"/>
        <v>Inscrire un</v>
      </c>
      <c r="F140" s="85">
        <f t="shared" si="20"/>
        <v>3</v>
      </c>
      <c r="G140" s="85">
        <f t="shared" si="21"/>
        <v>11</v>
      </c>
      <c r="H140" s="553" t="str">
        <f t="shared" si="22"/>
        <v>- -</v>
      </c>
      <c r="I140" s="554">
        <f t="shared" si="23"/>
        <v>0</v>
      </c>
      <c r="J140" s="554">
        <f t="shared" si="24"/>
        <v>0</v>
      </c>
      <c r="K140" s="362"/>
      <c r="L140" s="362"/>
      <c r="M140" s="362"/>
      <c r="N140" s="362"/>
      <c r="O140" s="362"/>
      <c r="P140" s="362"/>
      <c r="Q140" s="362"/>
      <c r="R140" s="9">
        <v>127</v>
      </c>
      <c r="S140" s="362"/>
    </row>
    <row r="141" spans="1:19" ht="52.8">
      <c r="A141" s="450" t="str">
        <f t="shared" si="18"/>
        <v>- -</v>
      </c>
      <c r="B141" s="450"/>
      <c r="C141" s="450" t="s">
        <v>252</v>
      </c>
      <c r="D141" s="90" t="s">
        <v>253</v>
      </c>
      <c r="E141" s="552" t="str">
        <f t="shared" si="19"/>
        <v>Lorsque deux véhicules ou plus sont utilisés au cours du mois, certains diagnostics pour les lectures du DÉBUT et de la FIN ne sont pas fiables pour ce mois</v>
      </c>
      <c r="F141" s="85">
        <f t="shared" si="20"/>
        <v>130</v>
      </c>
      <c r="G141" s="85">
        <f t="shared" si="21"/>
        <v>156</v>
      </c>
      <c r="H141" s="553" t="str">
        <f t="shared" si="22"/>
        <v>- -</v>
      </c>
      <c r="I141" s="554">
        <f t="shared" si="23"/>
        <v>0</v>
      </c>
      <c r="J141" s="554">
        <f t="shared" si="24"/>
        <v>0</v>
      </c>
      <c r="K141" s="362"/>
      <c r="L141" s="362"/>
      <c r="M141" s="362"/>
      <c r="N141" s="362"/>
      <c r="O141" s="362"/>
      <c r="P141" s="362"/>
      <c r="Q141" s="362"/>
      <c r="R141" s="9">
        <v>128</v>
      </c>
      <c r="S141" s="362"/>
    </row>
    <row r="142" spans="1:19">
      <c r="A142" s="450" t="str">
        <f t="shared" si="18"/>
        <v>- -</v>
      </c>
      <c r="B142" s="450"/>
      <c r="C142" s="450" t="s">
        <v>254</v>
      </c>
      <c r="D142" s="90" t="s">
        <v>255</v>
      </c>
      <c r="E142" s="552" t="str">
        <f t="shared" si="19"/>
        <v>www.pwc.com/ca/automobile</v>
      </c>
      <c r="F142" s="85">
        <f t="shared" si="20"/>
        <v>26</v>
      </c>
      <c r="G142" s="85">
        <f t="shared" si="21"/>
        <v>25</v>
      </c>
      <c r="H142" s="553" t="str">
        <f t="shared" si="22"/>
        <v>- -</v>
      </c>
      <c r="I142" s="554">
        <f t="shared" si="23"/>
        <v>0</v>
      </c>
      <c r="J142" s="554">
        <f t="shared" si="24"/>
        <v>0</v>
      </c>
      <c r="K142" s="362"/>
      <c r="L142" s="362"/>
      <c r="M142" s="362"/>
      <c r="N142" s="362"/>
      <c r="O142" s="362"/>
      <c r="P142" s="362"/>
      <c r="Q142" s="362"/>
      <c r="R142" s="9">
        <v>129</v>
      </c>
      <c r="S142" s="362"/>
    </row>
    <row r="143" spans="1:19">
      <c r="A143" s="450" t="str">
        <f t="shared" si="18"/>
        <v>- -</v>
      </c>
      <c r="B143" s="450"/>
      <c r="C143" s="450" t="s">
        <v>256</v>
      </c>
      <c r="D143" s="90" t="s">
        <v>257</v>
      </c>
      <c r="E143" s="552" t="str">
        <f t="shared" si="19"/>
        <v>Année (aa)</v>
      </c>
      <c r="F143" s="85">
        <f t="shared" si="20"/>
        <v>9</v>
      </c>
      <c r="G143" s="85">
        <f t="shared" si="21"/>
        <v>10</v>
      </c>
      <c r="H143" s="553" t="str">
        <f t="shared" si="22"/>
        <v>- -</v>
      </c>
      <c r="I143" s="554">
        <f t="shared" si="23"/>
        <v>0</v>
      </c>
      <c r="J143" s="554">
        <f t="shared" si="24"/>
        <v>0</v>
      </c>
      <c r="K143" s="362"/>
      <c r="L143" s="362"/>
      <c r="M143" s="362"/>
      <c r="N143" s="362"/>
      <c r="O143" s="362"/>
      <c r="P143" s="362"/>
      <c r="Q143" s="362"/>
      <c r="R143" s="9">
        <v>130</v>
      </c>
      <c r="S143" s="362"/>
    </row>
    <row r="144" spans="1:19" ht="26.4">
      <c r="A144" s="450" t="str">
        <f t="shared" si="18"/>
        <v>- -</v>
      </c>
      <c r="B144" s="450"/>
      <c r="C144" s="87" t="str">
        <f>"Year goes here
(e.g., "&amp;BASE_YEAR&amp;")"</f>
        <v>Year goes here
(e.g., 2026)</v>
      </c>
      <c r="D144" s="474" t="str">
        <f>"Entrer l'année ici.
(par ex. "&amp;BASE_YEAR&amp;")"</f>
        <v>Entrer l'année ici.
(par ex. 2026)</v>
      </c>
      <c r="E144" s="552" t="str">
        <f>IF($G$3="F",IF(G144=0,"",D144),IF(F144=0,"",C144))</f>
        <v>Entrer l'année ici.
(par ex. 2026)</v>
      </c>
      <c r="F144" s="85">
        <f>LEN(C144)</f>
        <v>27</v>
      </c>
      <c r="G144" s="85">
        <f>LEN(D144)</f>
        <v>34</v>
      </c>
      <c r="H144" s="553" t="str">
        <f>IF(I144&lt;&gt;J144,"Check matching spaces at beginning or end","- -")</f>
        <v>- -</v>
      </c>
      <c r="I144" s="554">
        <f>F144-LEN(TRIM(C144))</f>
        <v>0</v>
      </c>
      <c r="J144" s="554">
        <f>G144-LEN(TRIM(D144))</f>
        <v>0</v>
      </c>
      <c r="K144" s="362"/>
      <c r="L144" s="362"/>
      <c r="M144" s="362"/>
      <c r="N144" s="362"/>
      <c r="O144" s="362"/>
      <c r="P144" s="362"/>
      <c r="Q144" s="362"/>
      <c r="R144" s="9">
        <v>130</v>
      </c>
      <c r="S144" s="362"/>
    </row>
    <row r="145" spans="1:19">
      <c r="A145" s="450" t="str">
        <f t="shared" si="18"/>
        <v>- -</v>
      </c>
      <c r="B145" s="450"/>
      <c r="C145" s="450" t="s">
        <v>258</v>
      </c>
      <c r="D145" s="90" t="s">
        <v>259</v>
      </c>
      <c r="E145" s="552" t="str">
        <f t="shared" si="19"/>
        <v>Dim</v>
      </c>
      <c r="F145" s="85">
        <f t="shared" si="20"/>
        <v>3</v>
      </c>
      <c r="G145" s="85">
        <f t="shared" si="21"/>
        <v>3</v>
      </c>
      <c r="H145" s="553" t="str">
        <f t="shared" si="22"/>
        <v>- -</v>
      </c>
      <c r="I145" s="554">
        <f t="shared" si="23"/>
        <v>0</v>
      </c>
      <c r="J145" s="554">
        <f t="shared" si="24"/>
        <v>0</v>
      </c>
      <c r="K145" s="362"/>
      <c r="L145" s="362"/>
      <c r="M145" s="362"/>
      <c r="N145" s="362"/>
      <c r="O145" s="362"/>
      <c r="P145" s="362"/>
      <c r="Q145" s="362"/>
      <c r="R145" s="9">
        <v>132</v>
      </c>
      <c r="S145" s="362"/>
    </row>
    <row r="146" spans="1:19">
      <c r="A146" s="450" t="str">
        <f t="shared" si="18"/>
        <v>- -</v>
      </c>
      <c r="B146" s="450"/>
      <c r="C146" s="450" t="s">
        <v>260</v>
      </c>
      <c r="D146" s="90" t="s">
        <v>261</v>
      </c>
      <c r="E146" s="552" t="str">
        <f t="shared" si="19"/>
        <v>Lun</v>
      </c>
      <c r="F146" s="85">
        <f t="shared" si="20"/>
        <v>3</v>
      </c>
      <c r="G146" s="85">
        <f t="shared" si="21"/>
        <v>3</v>
      </c>
      <c r="H146" s="553" t="str">
        <f t="shared" si="22"/>
        <v>- -</v>
      </c>
      <c r="I146" s="554">
        <f t="shared" si="23"/>
        <v>0</v>
      </c>
      <c r="J146" s="554">
        <f t="shared" si="24"/>
        <v>0</v>
      </c>
      <c r="K146" s="362"/>
      <c r="L146" s="362"/>
      <c r="M146" s="362"/>
      <c r="N146" s="362"/>
      <c r="O146" s="362"/>
      <c r="P146" s="362"/>
      <c r="Q146" s="362"/>
      <c r="R146" s="9">
        <v>133</v>
      </c>
      <c r="S146" s="362"/>
    </row>
    <row r="147" spans="1:19">
      <c r="A147" s="450" t="str">
        <f t="shared" si="18"/>
        <v>- -</v>
      </c>
      <c r="B147" s="450"/>
      <c r="C147" s="450" t="s">
        <v>262</v>
      </c>
      <c r="D147" s="90" t="s">
        <v>263</v>
      </c>
      <c r="E147" s="552" t="str">
        <f t="shared" si="19"/>
        <v>Mar</v>
      </c>
      <c r="F147" s="85">
        <f t="shared" si="20"/>
        <v>3</v>
      </c>
      <c r="G147" s="85">
        <f t="shared" si="21"/>
        <v>3</v>
      </c>
      <c r="H147" s="553" t="str">
        <f t="shared" si="22"/>
        <v>- -</v>
      </c>
      <c r="I147" s="554">
        <f t="shared" si="23"/>
        <v>0</v>
      </c>
      <c r="J147" s="554">
        <f t="shared" si="24"/>
        <v>0</v>
      </c>
      <c r="K147" s="362"/>
      <c r="L147" s="362"/>
      <c r="M147" s="362"/>
      <c r="N147" s="362"/>
      <c r="O147" s="362"/>
      <c r="P147" s="362"/>
      <c r="Q147" s="362"/>
      <c r="R147" s="9">
        <v>134</v>
      </c>
      <c r="S147" s="362"/>
    </row>
    <row r="148" spans="1:19">
      <c r="A148" s="450" t="str">
        <f t="shared" si="18"/>
        <v>- -</v>
      </c>
      <c r="B148" s="450"/>
      <c r="C148" s="450" t="s">
        <v>264</v>
      </c>
      <c r="D148" s="90" t="s">
        <v>265</v>
      </c>
      <c r="E148" s="552" t="str">
        <f t="shared" si="19"/>
        <v>Mer</v>
      </c>
      <c r="F148" s="85">
        <f t="shared" si="20"/>
        <v>3</v>
      </c>
      <c r="G148" s="85">
        <f t="shared" si="21"/>
        <v>3</v>
      </c>
      <c r="H148" s="553" t="str">
        <f t="shared" si="22"/>
        <v>- -</v>
      </c>
      <c r="I148" s="554">
        <f t="shared" si="23"/>
        <v>0</v>
      </c>
      <c r="J148" s="554">
        <f t="shared" si="24"/>
        <v>0</v>
      </c>
      <c r="K148" s="362"/>
      <c r="L148" s="362"/>
      <c r="M148" s="362"/>
      <c r="N148" s="362"/>
      <c r="O148" s="362"/>
      <c r="P148" s="362"/>
      <c r="Q148" s="362"/>
      <c r="R148" s="9">
        <v>135</v>
      </c>
      <c r="S148" s="362"/>
    </row>
    <row r="149" spans="1:19">
      <c r="A149" s="450" t="str">
        <f t="shared" si="18"/>
        <v>- -</v>
      </c>
      <c r="B149" s="450"/>
      <c r="C149" s="450" t="s">
        <v>266</v>
      </c>
      <c r="D149" s="90" t="s">
        <v>267</v>
      </c>
      <c r="E149" s="552" t="str">
        <f t="shared" si="19"/>
        <v>Jeu</v>
      </c>
      <c r="F149" s="85">
        <f t="shared" si="20"/>
        <v>3</v>
      </c>
      <c r="G149" s="85">
        <f t="shared" si="21"/>
        <v>3</v>
      </c>
      <c r="H149" s="553" t="str">
        <f t="shared" si="22"/>
        <v>- -</v>
      </c>
      <c r="I149" s="554">
        <f t="shared" si="23"/>
        <v>0</v>
      </c>
      <c r="J149" s="554">
        <f t="shared" si="24"/>
        <v>0</v>
      </c>
      <c r="K149" s="362"/>
      <c r="L149" s="362"/>
      <c r="M149" s="362"/>
      <c r="N149" s="362"/>
      <c r="O149" s="362"/>
      <c r="P149" s="362"/>
      <c r="Q149" s="362"/>
      <c r="R149" s="9">
        <v>136</v>
      </c>
      <c r="S149" s="362"/>
    </row>
    <row r="150" spans="1:19">
      <c r="A150" s="450" t="str">
        <f t="shared" si="18"/>
        <v>- -</v>
      </c>
      <c r="B150" s="450"/>
      <c r="C150" s="450" t="s">
        <v>268</v>
      </c>
      <c r="D150" s="90" t="s">
        <v>269</v>
      </c>
      <c r="E150" s="552" t="str">
        <f t="shared" si="19"/>
        <v>Ven</v>
      </c>
      <c r="F150" s="85">
        <f t="shared" si="20"/>
        <v>3</v>
      </c>
      <c r="G150" s="85">
        <f t="shared" si="21"/>
        <v>3</v>
      </c>
      <c r="H150" s="553" t="str">
        <f t="shared" si="22"/>
        <v>- -</v>
      </c>
      <c r="I150" s="554">
        <f t="shared" si="23"/>
        <v>0</v>
      </c>
      <c r="J150" s="554">
        <f t="shared" si="24"/>
        <v>0</v>
      </c>
      <c r="K150" s="362"/>
      <c r="L150" s="362"/>
      <c r="M150" s="362"/>
      <c r="N150" s="362"/>
      <c r="O150" s="362"/>
      <c r="P150" s="362"/>
      <c r="Q150" s="362"/>
      <c r="R150" s="9">
        <v>137</v>
      </c>
      <c r="S150" s="362"/>
    </row>
    <row r="151" spans="1:19">
      <c r="A151" s="450" t="str">
        <f t="shared" si="18"/>
        <v>- -</v>
      </c>
      <c r="B151" s="450"/>
      <c r="C151" s="450" t="s">
        <v>270</v>
      </c>
      <c r="D151" s="90" t="s">
        <v>271</v>
      </c>
      <c r="E151" s="552" t="str">
        <f t="shared" si="19"/>
        <v>Sam</v>
      </c>
      <c r="F151" s="85">
        <f t="shared" si="20"/>
        <v>3</v>
      </c>
      <c r="G151" s="85">
        <f t="shared" si="21"/>
        <v>3</v>
      </c>
      <c r="H151" s="553" t="str">
        <f t="shared" si="22"/>
        <v>- -</v>
      </c>
      <c r="I151" s="554">
        <f t="shared" si="23"/>
        <v>0</v>
      </c>
      <c r="J151" s="554">
        <f t="shared" si="24"/>
        <v>0</v>
      </c>
      <c r="K151" s="362"/>
      <c r="L151" s="362"/>
      <c r="M151" s="362"/>
      <c r="N151" s="362"/>
      <c r="O151" s="362"/>
      <c r="P151" s="362"/>
      <c r="Q151" s="362"/>
      <c r="R151" s="9">
        <v>138</v>
      </c>
      <c r="S151" s="362"/>
    </row>
    <row r="152" spans="1:19">
      <c r="A152" s="450" t="str">
        <f t="shared" si="18"/>
        <v>- -</v>
      </c>
      <c r="B152" s="450"/>
      <c r="C152" s="450" t="s">
        <v>272</v>
      </c>
      <c r="D152" s="90" t="s">
        <v>273</v>
      </c>
      <c r="E152" s="552" t="str">
        <f t="shared" si="19"/>
        <v>janvier</v>
      </c>
      <c r="F152" s="85">
        <f t="shared" si="20"/>
        <v>7</v>
      </c>
      <c r="G152" s="85">
        <f t="shared" si="21"/>
        <v>7</v>
      </c>
      <c r="H152" s="553" t="str">
        <f t="shared" si="22"/>
        <v>- -</v>
      </c>
      <c r="I152" s="554">
        <f t="shared" si="23"/>
        <v>0</v>
      </c>
      <c r="J152" s="554">
        <f t="shared" si="24"/>
        <v>0</v>
      </c>
      <c r="K152" s="362"/>
      <c r="L152" s="362"/>
      <c r="M152" s="362"/>
      <c r="N152" s="362"/>
      <c r="O152" s="362"/>
      <c r="P152" s="362"/>
      <c r="Q152" s="362"/>
      <c r="R152" s="9">
        <v>139</v>
      </c>
      <c r="S152" s="362"/>
    </row>
    <row r="153" spans="1:19">
      <c r="A153" s="450" t="str">
        <f t="shared" si="18"/>
        <v>- -</v>
      </c>
      <c r="B153" s="450"/>
      <c r="C153" s="450" t="s">
        <v>274</v>
      </c>
      <c r="D153" s="90" t="s">
        <v>275</v>
      </c>
      <c r="E153" s="552" t="str">
        <f t="shared" si="19"/>
        <v>février</v>
      </c>
      <c r="F153" s="85">
        <f t="shared" si="20"/>
        <v>8</v>
      </c>
      <c r="G153" s="85">
        <f t="shared" si="21"/>
        <v>7</v>
      </c>
      <c r="H153" s="553" t="str">
        <f t="shared" si="22"/>
        <v>- -</v>
      </c>
      <c r="I153" s="554">
        <f t="shared" si="23"/>
        <v>0</v>
      </c>
      <c r="J153" s="554">
        <f t="shared" si="24"/>
        <v>0</v>
      </c>
      <c r="K153" s="362"/>
      <c r="L153" s="362"/>
      <c r="M153" s="362"/>
      <c r="N153" s="362"/>
      <c r="O153" s="362"/>
      <c r="P153" s="362"/>
      <c r="Q153" s="362"/>
      <c r="R153" s="9">
        <v>140</v>
      </c>
      <c r="S153" s="362"/>
    </row>
    <row r="154" spans="1:19">
      <c r="A154" s="450" t="str">
        <f t="shared" si="18"/>
        <v>- -</v>
      </c>
      <c r="B154" s="450"/>
      <c r="C154" s="450" t="s">
        <v>276</v>
      </c>
      <c r="D154" s="90" t="s">
        <v>277</v>
      </c>
      <c r="E154" s="552" t="str">
        <f t="shared" si="19"/>
        <v>mars</v>
      </c>
      <c r="F154" s="85">
        <f t="shared" si="20"/>
        <v>5</v>
      </c>
      <c r="G154" s="85">
        <f t="shared" si="21"/>
        <v>4</v>
      </c>
      <c r="H154" s="553" t="str">
        <f t="shared" si="22"/>
        <v>- -</v>
      </c>
      <c r="I154" s="554">
        <f t="shared" si="23"/>
        <v>0</v>
      </c>
      <c r="J154" s="554">
        <f t="shared" si="24"/>
        <v>0</v>
      </c>
      <c r="K154" s="362"/>
      <c r="L154" s="362"/>
      <c r="M154" s="362"/>
      <c r="N154" s="362"/>
      <c r="O154" s="362"/>
      <c r="P154" s="362"/>
      <c r="Q154" s="362"/>
      <c r="R154" s="9">
        <v>141</v>
      </c>
      <c r="S154" s="362"/>
    </row>
    <row r="155" spans="1:19">
      <c r="A155" s="450" t="str">
        <f t="shared" si="18"/>
        <v>- -</v>
      </c>
      <c r="B155" s="450"/>
      <c r="C155" s="450" t="s">
        <v>278</v>
      </c>
      <c r="D155" s="90" t="s">
        <v>279</v>
      </c>
      <c r="E155" s="552" t="str">
        <f t="shared" si="19"/>
        <v>avril</v>
      </c>
      <c r="F155" s="85">
        <f t="shared" si="20"/>
        <v>5</v>
      </c>
      <c r="G155" s="85">
        <f t="shared" si="21"/>
        <v>5</v>
      </c>
      <c r="H155" s="553" t="str">
        <f t="shared" si="22"/>
        <v>- -</v>
      </c>
      <c r="I155" s="554">
        <f t="shared" si="23"/>
        <v>0</v>
      </c>
      <c r="J155" s="554">
        <f t="shared" si="24"/>
        <v>0</v>
      </c>
      <c r="K155" s="362"/>
      <c r="L155" s="362"/>
      <c r="M155" s="362"/>
      <c r="N155" s="362"/>
      <c r="O155" s="362"/>
      <c r="P155" s="362"/>
      <c r="Q155" s="362"/>
      <c r="R155" s="9">
        <v>142</v>
      </c>
      <c r="S155" s="362"/>
    </row>
    <row r="156" spans="1:19">
      <c r="A156" s="450" t="str">
        <f t="shared" si="18"/>
        <v>- -</v>
      </c>
      <c r="B156" s="450"/>
      <c r="C156" s="450" t="s">
        <v>280</v>
      </c>
      <c r="D156" s="90" t="s">
        <v>281</v>
      </c>
      <c r="E156" s="552" t="str">
        <f t="shared" si="19"/>
        <v>mai</v>
      </c>
      <c r="F156" s="85">
        <f t="shared" si="20"/>
        <v>3</v>
      </c>
      <c r="G156" s="85">
        <f t="shared" si="21"/>
        <v>3</v>
      </c>
      <c r="H156" s="553" t="str">
        <f t="shared" si="22"/>
        <v>- -</v>
      </c>
      <c r="I156" s="554">
        <f t="shared" si="23"/>
        <v>0</v>
      </c>
      <c r="J156" s="554">
        <f t="shared" si="24"/>
        <v>0</v>
      </c>
      <c r="K156" s="362"/>
      <c r="L156" s="362"/>
      <c r="M156" s="362"/>
      <c r="N156" s="362"/>
      <c r="O156" s="362"/>
      <c r="P156" s="362"/>
      <c r="Q156" s="362"/>
      <c r="R156" s="9">
        <v>143</v>
      </c>
      <c r="S156" s="362"/>
    </row>
    <row r="157" spans="1:19">
      <c r="A157" s="450" t="str">
        <f t="shared" si="18"/>
        <v>- -</v>
      </c>
      <c r="B157" s="450"/>
      <c r="C157" s="450" t="s">
        <v>282</v>
      </c>
      <c r="D157" s="90" t="s">
        <v>283</v>
      </c>
      <c r="E157" s="552" t="str">
        <f t="shared" si="19"/>
        <v>juin</v>
      </c>
      <c r="F157" s="85">
        <f t="shared" si="20"/>
        <v>4</v>
      </c>
      <c r="G157" s="85">
        <f t="shared" si="21"/>
        <v>4</v>
      </c>
      <c r="H157" s="553" t="str">
        <f t="shared" si="22"/>
        <v>- -</v>
      </c>
      <c r="I157" s="554">
        <f t="shared" si="23"/>
        <v>0</v>
      </c>
      <c r="J157" s="554">
        <f t="shared" si="24"/>
        <v>0</v>
      </c>
      <c r="K157" s="362"/>
      <c r="L157" s="362"/>
      <c r="M157" s="362"/>
      <c r="N157" s="362"/>
      <c r="O157" s="362"/>
      <c r="P157" s="362"/>
      <c r="Q157" s="362"/>
      <c r="R157" s="9">
        <v>144</v>
      </c>
      <c r="S157" s="362"/>
    </row>
    <row r="158" spans="1:19">
      <c r="A158" s="450" t="str">
        <f t="shared" si="18"/>
        <v>- -</v>
      </c>
      <c r="B158" s="450"/>
      <c r="C158" s="450" t="s">
        <v>284</v>
      </c>
      <c r="D158" s="90" t="s">
        <v>285</v>
      </c>
      <c r="E158" s="552" t="str">
        <f t="shared" si="19"/>
        <v>juillet</v>
      </c>
      <c r="F158" s="85">
        <f t="shared" si="20"/>
        <v>4</v>
      </c>
      <c r="G158" s="85">
        <f t="shared" si="21"/>
        <v>7</v>
      </c>
      <c r="H158" s="553" t="str">
        <f t="shared" si="22"/>
        <v>- -</v>
      </c>
      <c r="I158" s="554">
        <f t="shared" si="23"/>
        <v>0</v>
      </c>
      <c r="J158" s="554">
        <f t="shared" si="24"/>
        <v>0</v>
      </c>
      <c r="K158" s="362"/>
      <c r="L158" s="362"/>
      <c r="M158" s="362"/>
      <c r="N158" s="362"/>
      <c r="O158" s="362"/>
      <c r="P158" s="362"/>
      <c r="Q158" s="362"/>
      <c r="R158" s="9">
        <v>145</v>
      </c>
      <c r="S158" s="362"/>
    </row>
    <row r="159" spans="1:19">
      <c r="A159" s="450" t="str">
        <f t="shared" si="18"/>
        <v>- -</v>
      </c>
      <c r="B159" s="450"/>
      <c r="C159" s="450" t="s">
        <v>286</v>
      </c>
      <c r="D159" s="90" t="s">
        <v>287</v>
      </c>
      <c r="E159" s="552" t="str">
        <f t="shared" si="19"/>
        <v>août</v>
      </c>
      <c r="F159" s="85">
        <f t="shared" si="20"/>
        <v>6</v>
      </c>
      <c r="G159" s="85">
        <f t="shared" si="21"/>
        <v>4</v>
      </c>
      <c r="H159" s="553" t="str">
        <f t="shared" si="22"/>
        <v>- -</v>
      </c>
      <c r="I159" s="554">
        <f t="shared" si="23"/>
        <v>0</v>
      </c>
      <c r="J159" s="554">
        <f t="shared" si="24"/>
        <v>0</v>
      </c>
      <c r="K159" s="362"/>
      <c r="L159" s="362"/>
      <c r="M159" s="362"/>
      <c r="N159" s="362"/>
      <c r="O159" s="362"/>
      <c r="P159" s="362"/>
      <c r="Q159" s="362"/>
      <c r="R159" s="9">
        <v>146</v>
      </c>
      <c r="S159" s="362"/>
    </row>
    <row r="160" spans="1:19">
      <c r="A160" s="450" t="str">
        <f t="shared" si="18"/>
        <v>- -</v>
      </c>
      <c r="B160" s="450"/>
      <c r="C160" s="450" t="s">
        <v>288</v>
      </c>
      <c r="D160" s="90" t="s">
        <v>289</v>
      </c>
      <c r="E160" s="552" t="str">
        <f t="shared" si="19"/>
        <v>septembre</v>
      </c>
      <c r="F160" s="85">
        <f t="shared" si="20"/>
        <v>9</v>
      </c>
      <c r="G160" s="85">
        <f t="shared" si="21"/>
        <v>9</v>
      </c>
      <c r="H160" s="553" t="str">
        <f t="shared" si="22"/>
        <v>- -</v>
      </c>
      <c r="I160" s="554">
        <f t="shared" si="23"/>
        <v>0</v>
      </c>
      <c r="J160" s="554">
        <f t="shared" si="24"/>
        <v>0</v>
      </c>
      <c r="K160" s="362"/>
      <c r="L160" s="362"/>
      <c r="M160" s="362"/>
      <c r="N160" s="362"/>
      <c r="O160" s="362"/>
      <c r="P160" s="362"/>
      <c r="Q160" s="362"/>
      <c r="R160" s="9">
        <v>147</v>
      </c>
      <c r="S160" s="362"/>
    </row>
    <row r="161" spans="1:19">
      <c r="A161" s="450" t="str">
        <f t="shared" si="18"/>
        <v>- -</v>
      </c>
      <c r="B161" s="450"/>
      <c r="C161" s="450" t="s">
        <v>290</v>
      </c>
      <c r="D161" s="90" t="s">
        <v>291</v>
      </c>
      <c r="E161" s="552" t="str">
        <f t="shared" si="19"/>
        <v>octobre</v>
      </c>
      <c r="F161" s="85">
        <f t="shared" si="20"/>
        <v>7</v>
      </c>
      <c r="G161" s="85">
        <f t="shared" si="21"/>
        <v>7</v>
      </c>
      <c r="H161" s="553" t="str">
        <f t="shared" si="22"/>
        <v>- -</v>
      </c>
      <c r="I161" s="554">
        <f t="shared" si="23"/>
        <v>0</v>
      </c>
      <c r="J161" s="554">
        <f t="shared" si="24"/>
        <v>0</v>
      </c>
      <c r="K161" s="362"/>
      <c r="L161" s="362"/>
      <c r="M161" s="362"/>
      <c r="N161" s="362"/>
      <c r="O161" s="362"/>
      <c r="P161" s="362"/>
      <c r="Q161" s="362"/>
      <c r="R161" s="9">
        <v>148</v>
      </c>
      <c r="S161" s="362"/>
    </row>
    <row r="162" spans="1:19">
      <c r="A162" s="450" t="str">
        <f t="shared" si="18"/>
        <v>- -</v>
      </c>
      <c r="B162" s="450"/>
      <c r="C162" s="450" t="s">
        <v>292</v>
      </c>
      <c r="D162" s="90" t="s">
        <v>293</v>
      </c>
      <c r="E162" s="552" t="str">
        <f t="shared" si="19"/>
        <v>novembre</v>
      </c>
      <c r="F162" s="85">
        <f t="shared" si="20"/>
        <v>8</v>
      </c>
      <c r="G162" s="85">
        <f t="shared" si="21"/>
        <v>8</v>
      </c>
      <c r="H162" s="553" t="str">
        <f t="shared" si="22"/>
        <v>- -</v>
      </c>
      <c r="I162" s="554">
        <f t="shared" si="23"/>
        <v>0</v>
      </c>
      <c r="J162" s="554">
        <f t="shared" si="24"/>
        <v>0</v>
      </c>
      <c r="K162" s="362"/>
      <c r="L162" s="362"/>
      <c r="M162" s="362"/>
      <c r="N162" s="362"/>
      <c r="O162" s="362"/>
      <c r="P162" s="362"/>
      <c r="Q162" s="362"/>
      <c r="R162" s="9">
        <v>149</v>
      </c>
      <c r="S162" s="362"/>
    </row>
    <row r="163" spans="1:19">
      <c r="A163" s="450" t="str">
        <f t="shared" si="18"/>
        <v>- -</v>
      </c>
      <c r="B163" s="450"/>
      <c r="C163" s="450" t="s">
        <v>294</v>
      </c>
      <c r="D163" s="90" t="s">
        <v>295</v>
      </c>
      <c r="E163" s="552" t="str">
        <f t="shared" si="19"/>
        <v>décembre</v>
      </c>
      <c r="F163" s="85">
        <f t="shared" si="20"/>
        <v>8</v>
      </c>
      <c r="G163" s="85">
        <f t="shared" si="21"/>
        <v>8</v>
      </c>
      <c r="H163" s="553" t="str">
        <f t="shared" si="22"/>
        <v>- -</v>
      </c>
      <c r="I163" s="554">
        <f t="shared" si="23"/>
        <v>0</v>
      </c>
      <c r="J163" s="554">
        <f t="shared" si="24"/>
        <v>0</v>
      </c>
      <c r="K163" s="362"/>
      <c r="L163" s="362"/>
      <c r="M163" s="362"/>
      <c r="N163" s="362"/>
      <c r="O163" s="362"/>
      <c r="P163" s="362"/>
      <c r="Q163" s="362"/>
      <c r="R163" s="9">
        <v>150</v>
      </c>
      <c r="S163" s="362"/>
    </row>
    <row r="164" spans="1:19">
      <c r="A164" s="450" t="str">
        <f t="shared" si="18"/>
        <v>- -</v>
      </c>
      <c r="B164" s="450"/>
      <c r="C164" s="450" t="s">
        <v>296</v>
      </c>
      <c r="D164" s="90" t="s">
        <v>297</v>
      </c>
      <c r="E164" s="552" t="str">
        <f t="shared" si="19"/>
        <v>Remboursement de la TVQ reçue</v>
      </c>
      <c r="F164" s="85">
        <f t="shared" si="20"/>
        <v>19</v>
      </c>
      <c r="G164" s="85">
        <f t="shared" si="21"/>
        <v>29</v>
      </c>
      <c r="H164" s="553" t="str">
        <f t="shared" si="22"/>
        <v>- -</v>
      </c>
      <c r="I164" s="554">
        <f t="shared" si="23"/>
        <v>0</v>
      </c>
      <c r="J164" s="554">
        <f t="shared" si="24"/>
        <v>0</v>
      </c>
      <c r="K164" s="362"/>
      <c r="L164" s="362"/>
      <c r="M164" s="362"/>
      <c r="N164" s="362"/>
      <c r="O164" s="362"/>
      <c r="P164" s="362"/>
      <c r="Q164" s="362"/>
      <c r="R164" s="9">
        <v>151</v>
      </c>
      <c r="S164" s="362"/>
    </row>
    <row r="165" spans="1:19" ht="26.4">
      <c r="A165" s="450" t="str">
        <f t="shared" si="18"/>
        <v>- -</v>
      </c>
      <c r="B165" s="450"/>
      <c r="C165" s="564" t="s">
        <v>298</v>
      </c>
      <c r="D165" s="513" t="s">
        <v>299</v>
      </c>
      <c r="E165" s="552" t="str">
        <f t="shared" si="19"/>
        <v>F164_</v>
      </c>
      <c r="F165" s="85">
        <f t="shared" si="20"/>
        <v>46</v>
      </c>
      <c r="G165" s="85">
        <f t="shared" si="21"/>
        <v>5</v>
      </c>
      <c r="H165" s="553" t="str">
        <f t="shared" si="22"/>
        <v>- -</v>
      </c>
      <c r="I165" s="554">
        <f t="shared" si="23"/>
        <v>0</v>
      </c>
      <c r="J165" s="554">
        <f t="shared" si="24"/>
        <v>0</v>
      </c>
      <c r="K165" s="362"/>
      <c r="L165" s="362"/>
      <c r="M165" s="362"/>
      <c r="N165" s="362"/>
      <c r="O165" s="362"/>
      <c r="P165" s="362"/>
      <c r="Q165" s="362"/>
      <c r="R165" s="9">
        <v>152</v>
      </c>
      <c r="S165" s="362"/>
    </row>
    <row r="166" spans="1:19" ht="204" customHeight="1">
      <c r="A166" s="450" t="str">
        <f t="shared" si="18"/>
        <v>- -</v>
      </c>
      <c r="B166" s="450"/>
      <c r="C166" s="537" t="s">
        <v>300</v>
      </c>
      <c r="D166" s="90" t="s">
        <v>301</v>
      </c>
      <c r="E166" s="552" t="str">
        <f t="shared" si="19"/>
        <v>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66" s="85">
        <f t="shared" si="20"/>
        <v>321</v>
      </c>
      <c r="G166" s="85">
        <f t="shared" si="21"/>
        <v>382</v>
      </c>
      <c r="H166" s="553" t="str">
        <f t="shared" si="22"/>
        <v>- -</v>
      </c>
      <c r="I166" s="554">
        <f t="shared" si="23"/>
        <v>0</v>
      </c>
      <c r="J166" s="554">
        <f t="shared" si="24"/>
        <v>0</v>
      </c>
      <c r="K166" s="362"/>
      <c r="L166" s="362"/>
      <c r="M166" s="362"/>
      <c r="N166" s="362"/>
      <c r="O166" s="362"/>
      <c r="P166" s="362"/>
      <c r="Q166" s="362"/>
      <c r="R166" s="9">
        <v>153</v>
      </c>
      <c r="S166" s="362"/>
    </row>
    <row r="167" spans="1:19">
      <c r="A167" s="450" t="str">
        <f t="shared" si="18"/>
        <v>- -</v>
      </c>
      <c r="B167" s="450"/>
      <c r="C167" s="450"/>
      <c r="D167" s="90"/>
      <c r="E167" s="552" t="str">
        <f t="shared" si="19"/>
        <v/>
      </c>
      <c r="F167" s="85">
        <f t="shared" si="20"/>
        <v>0</v>
      </c>
      <c r="G167" s="85">
        <f t="shared" si="21"/>
        <v>0</v>
      </c>
      <c r="H167" s="553" t="str">
        <f t="shared" si="22"/>
        <v>- -</v>
      </c>
      <c r="I167" s="554">
        <f t="shared" si="23"/>
        <v>0</v>
      </c>
      <c r="J167" s="554">
        <f t="shared" si="24"/>
        <v>0</v>
      </c>
      <c r="K167" s="362"/>
      <c r="L167" s="362"/>
      <c r="M167" s="362"/>
      <c r="N167" s="362"/>
      <c r="O167" s="362"/>
      <c r="P167" s="362"/>
      <c r="Q167" s="362"/>
      <c r="R167" s="9">
        <v>154</v>
      </c>
      <c r="S167" s="362"/>
    </row>
    <row r="168" spans="1:19">
      <c r="A168" s="450" t="str">
        <f t="shared" si="18"/>
        <v>- -</v>
      </c>
      <c r="B168" s="450"/>
      <c r="C168" s="450"/>
      <c r="D168" s="90" t="s">
        <v>302</v>
      </c>
      <c r="E168" s="552" t="str">
        <f t="shared" si="19"/>
        <v>F167_</v>
      </c>
      <c r="F168" s="85">
        <f t="shared" si="20"/>
        <v>0</v>
      </c>
      <c r="G168" s="85">
        <f t="shared" si="21"/>
        <v>5</v>
      </c>
      <c r="H168" s="553" t="str">
        <f t="shared" si="22"/>
        <v>- -</v>
      </c>
      <c r="I168" s="554">
        <f t="shared" si="23"/>
        <v>0</v>
      </c>
      <c r="J168" s="554">
        <f t="shared" si="24"/>
        <v>0</v>
      </c>
      <c r="K168" s="362"/>
      <c r="L168" s="362"/>
      <c r="M168" s="362"/>
      <c r="N168" s="362"/>
      <c r="O168" s="362"/>
      <c r="P168" s="362"/>
      <c r="Q168" s="362"/>
      <c r="R168" s="9">
        <v>155</v>
      </c>
      <c r="S168" s="362"/>
    </row>
    <row r="169" spans="1:19">
      <c r="A169" s="450" t="str">
        <f t="shared" si="18"/>
        <v>- -</v>
      </c>
      <c r="B169" s="450"/>
      <c r="C169" s="450"/>
      <c r="D169" s="90" t="s">
        <v>303</v>
      </c>
      <c r="E169" s="552" t="str">
        <f t="shared" si="19"/>
        <v>F168_</v>
      </c>
      <c r="F169" s="85">
        <f t="shared" si="20"/>
        <v>0</v>
      </c>
      <c r="G169" s="85">
        <f t="shared" si="21"/>
        <v>5</v>
      </c>
      <c r="H169" s="553" t="str">
        <f t="shared" si="22"/>
        <v>- -</v>
      </c>
      <c r="I169" s="554">
        <f t="shared" si="23"/>
        <v>0</v>
      </c>
      <c r="J169" s="554">
        <f t="shared" si="24"/>
        <v>0</v>
      </c>
      <c r="K169" s="362"/>
      <c r="L169" s="362"/>
      <c r="M169" s="362"/>
      <c r="N169" s="362"/>
      <c r="O169" s="362"/>
      <c r="P169" s="362"/>
      <c r="Q169" s="362"/>
      <c r="R169" s="9">
        <v>156</v>
      </c>
      <c r="S169" s="362"/>
    </row>
    <row r="170" spans="1:19">
      <c r="A170" s="450" t="str">
        <f t="shared" si="18"/>
        <v>- -</v>
      </c>
      <c r="B170" s="450"/>
      <c r="C170" s="450"/>
      <c r="D170" s="90" t="s">
        <v>304</v>
      </c>
      <c r="E170" s="552" t="str">
        <f t="shared" si="19"/>
        <v>F169_</v>
      </c>
      <c r="F170" s="85">
        <f t="shared" si="20"/>
        <v>0</v>
      </c>
      <c r="G170" s="85">
        <f t="shared" si="21"/>
        <v>5</v>
      </c>
      <c r="H170" s="553" t="str">
        <f t="shared" si="22"/>
        <v>- -</v>
      </c>
      <c r="I170" s="554">
        <f t="shared" si="23"/>
        <v>0</v>
      </c>
      <c r="J170" s="554">
        <f t="shared" si="24"/>
        <v>0</v>
      </c>
      <c r="K170" s="362"/>
      <c r="L170" s="362"/>
      <c r="M170" s="362"/>
      <c r="N170" s="362"/>
      <c r="O170" s="362"/>
      <c r="P170" s="362"/>
      <c r="Q170" s="362"/>
      <c r="R170" s="9">
        <v>157</v>
      </c>
      <c r="S170" s="362"/>
    </row>
    <row r="171" spans="1:19">
      <c r="A171" s="450" t="str">
        <f t="shared" si="18"/>
        <v>- -</v>
      </c>
      <c r="B171" s="450"/>
      <c r="C171" s="450"/>
      <c r="D171" s="90" t="s">
        <v>305</v>
      </c>
      <c r="E171" s="552" t="str">
        <f t="shared" si="19"/>
        <v>F170_</v>
      </c>
      <c r="F171" s="85">
        <f t="shared" si="20"/>
        <v>0</v>
      </c>
      <c r="G171" s="85">
        <f t="shared" si="21"/>
        <v>5</v>
      </c>
      <c r="H171" s="553" t="str">
        <f t="shared" si="22"/>
        <v>- -</v>
      </c>
      <c r="I171" s="554">
        <f t="shared" si="23"/>
        <v>0</v>
      </c>
      <c r="J171" s="554">
        <f t="shared" si="24"/>
        <v>0</v>
      </c>
      <c r="K171" s="362"/>
      <c r="L171" s="362"/>
      <c r="M171" s="362"/>
      <c r="N171" s="362"/>
      <c r="O171" s="362"/>
      <c r="P171" s="362"/>
      <c r="Q171" s="362"/>
      <c r="R171" s="9">
        <v>158</v>
      </c>
      <c r="S171" s="362"/>
    </row>
    <row r="172" spans="1:19">
      <c r="A172" s="450" t="str">
        <f t="shared" si="18"/>
        <v>- -</v>
      </c>
      <c r="B172" s="450"/>
      <c r="C172" s="450"/>
      <c r="D172" s="90" t="s">
        <v>306</v>
      </c>
      <c r="E172" s="552" t="str">
        <f t="shared" si="19"/>
        <v>F171_</v>
      </c>
      <c r="F172" s="85">
        <f t="shared" si="20"/>
        <v>0</v>
      </c>
      <c r="G172" s="85">
        <f t="shared" si="21"/>
        <v>5</v>
      </c>
      <c r="H172" s="553" t="str">
        <f t="shared" si="22"/>
        <v>- -</v>
      </c>
      <c r="I172" s="554">
        <f t="shared" si="23"/>
        <v>0</v>
      </c>
      <c r="J172" s="554">
        <f t="shared" si="24"/>
        <v>0</v>
      </c>
      <c r="K172" s="362"/>
      <c r="L172" s="362"/>
      <c r="M172" s="362"/>
      <c r="N172" s="362"/>
      <c r="O172" s="362"/>
      <c r="P172" s="362"/>
      <c r="Q172" s="362"/>
      <c r="R172" s="9">
        <v>159</v>
      </c>
      <c r="S172" s="362"/>
    </row>
    <row r="173" spans="1:19">
      <c r="A173" s="450" t="str">
        <f t="shared" si="18"/>
        <v>- -</v>
      </c>
      <c r="B173" s="450"/>
      <c r="C173" s="450"/>
      <c r="D173" s="90" t="s">
        <v>307</v>
      </c>
      <c r="E173" s="552" t="str">
        <f t="shared" si="19"/>
        <v>F172_</v>
      </c>
      <c r="F173" s="85">
        <f t="shared" si="20"/>
        <v>0</v>
      </c>
      <c r="G173" s="85">
        <f t="shared" si="21"/>
        <v>5</v>
      </c>
      <c r="H173" s="553" t="str">
        <f t="shared" si="22"/>
        <v>- -</v>
      </c>
      <c r="I173" s="554">
        <f t="shared" si="23"/>
        <v>0</v>
      </c>
      <c r="J173" s="554">
        <f t="shared" si="24"/>
        <v>0</v>
      </c>
      <c r="K173" s="362"/>
      <c r="L173" s="362"/>
      <c r="M173" s="362"/>
      <c r="N173" s="362"/>
      <c r="O173" s="362"/>
      <c r="P173" s="362"/>
      <c r="Q173" s="362"/>
      <c r="R173" s="9">
        <v>160</v>
      </c>
      <c r="S173" s="362"/>
    </row>
    <row r="174" spans="1:19">
      <c r="A174" s="450" t="str">
        <f t="shared" si="18"/>
        <v>- -</v>
      </c>
      <c r="B174" s="450"/>
      <c r="C174" s="450"/>
      <c r="D174" s="90" t="s">
        <v>308</v>
      </c>
      <c r="E174" s="552" t="str">
        <f t="shared" si="19"/>
        <v>F173_</v>
      </c>
      <c r="F174" s="85">
        <f t="shared" si="20"/>
        <v>0</v>
      </c>
      <c r="G174" s="85">
        <f t="shared" si="21"/>
        <v>5</v>
      </c>
      <c r="H174" s="553" t="str">
        <f t="shared" si="22"/>
        <v>- -</v>
      </c>
      <c r="I174" s="554">
        <f t="shared" si="23"/>
        <v>0</v>
      </c>
      <c r="J174" s="554">
        <f t="shared" si="24"/>
        <v>0</v>
      </c>
      <c r="K174" s="362"/>
      <c r="L174" s="362"/>
      <c r="M174" s="362"/>
      <c r="N174" s="362"/>
      <c r="O174" s="362"/>
      <c r="P174" s="362"/>
      <c r="Q174" s="362"/>
      <c r="R174" s="9">
        <v>161</v>
      </c>
      <c r="S174" s="362"/>
    </row>
    <row r="175" spans="1:19">
      <c r="A175" s="450" t="str">
        <f t="shared" si="18"/>
        <v>- -</v>
      </c>
      <c r="B175" s="450"/>
      <c r="C175" s="450"/>
      <c r="D175" s="90" t="s">
        <v>309</v>
      </c>
      <c r="E175" s="552" t="str">
        <f t="shared" si="19"/>
        <v>F174_</v>
      </c>
      <c r="F175" s="85">
        <f t="shared" si="20"/>
        <v>0</v>
      </c>
      <c r="G175" s="85">
        <f t="shared" si="21"/>
        <v>5</v>
      </c>
      <c r="H175" s="553" t="str">
        <f t="shared" si="22"/>
        <v>- -</v>
      </c>
      <c r="I175" s="554">
        <f t="shared" si="23"/>
        <v>0</v>
      </c>
      <c r="J175" s="554">
        <f t="shared" si="24"/>
        <v>0</v>
      </c>
      <c r="K175" s="362"/>
      <c r="L175" s="362"/>
      <c r="M175" s="362"/>
      <c r="N175" s="362"/>
      <c r="O175" s="362"/>
      <c r="P175" s="362"/>
      <c r="Q175" s="362"/>
      <c r="R175" s="9">
        <v>162</v>
      </c>
      <c r="S175" s="362"/>
    </row>
    <row r="176" spans="1:19">
      <c r="A176" s="450" t="str">
        <f t="shared" si="18"/>
        <v>- -</v>
      </c>
      <c r="B176" s="450"/>
      <c r="C176" s="450"/>
      <c r="D176" s="90" t="s">
        <v>310</v>
      </c>
      <c r="E176" s="552" t="str">
        <f t="shared" si="19"/>
        <v>F175_</v>
      </c>
      <c r="F176" s="85">
        <f t="shared" si="20"/>
        <v>0</v>
      </c>
      <c r="G176" s="85">
        <f t="shared" si="21"/>
        <v>5</v>
      </c>
      <c r="H176" s="553" t="str">
        <f t="shared" si="22"/>
        <v>- -</v>
      </c>
      <c r="I176" s="554">
        <f t="shared" si="23"/>
        <v>0</v>
      </c>
      <c r="J176" s="554">
        <f t="shared" si="24"/>
        <v>0</v>
      </c>
      <c r="K176" s="362"/>
      <c r="L176" s="362"/>
      <c r="M176" s="362"/>
      <c r="N176" s="362"/>
      <c r="O176" s="362"/>
      <c r="P176" s="362"/>
      <c r="Q176" s="362"/>
      <c r="R176" s="9">
        <v>163</v>
      </c>
      <c r="S176" s="362"/>
    </row>
    <row r="177" spans="1:19">
      <c r="A177" s="450" t="str">
        <f t="shared" si="18"/>
        <v>- -</v>
      </c>
      <c r="B177" s="450"/>
      <c r="C177" s="450"/>
      <c r="D177" s="90" t="s">
        <v>311</v>
      </c>
      <c r="E177" s="552" t="str">
        <f t="shared" si="19"/>
        <v>F176_</v>
      </c>
      <c r="F177" s="85">
        <f t="shared" si="20"/>
        <v>0</v>
      </c>
      <c r="G177" s="85">
        <f t="shared" si="21"/>
        <v>5</v>
      </c>
      <c r="H177" s="553" t="str">
        <f t="shared" si="22"/>
        <v>- -</v>
      </c>
      <c r="I177" s="554">
        <f t="shared" si="23"/>
        <v>0</v>
      </c>
      <c r="J177" s="554">
        <f t="shared" si="24"/>
        <v>0</v>
      </c>
      <c r="K177" s="362"/>
      <c r="L177" s="362"/>
      <c r="M177" s="362"/>
      <c r="N177" s="362"/>
      <c r="O177" s="362"/>
      <c r="P177" s="362"/>
      <c r="Q177" s="362"/>
      <c r="R177" s="9">
        <v>164</v>
      </c>
      <c r="S177" s="362"/>
    </row>
    <row r="178" spans="1:19">
      <c r="A178" s="450" t="str">
        <f t="shared" si="18"/>
        <v>- -</v>
      </c>
      <c r="B178" s="450"/>
      <c r="C178" s="450"/>
      <c r="D178" s="90" t="s">
        <v>312</v>
      </c>
      <c r="E178" s="552" t="str">
        <f t="shared" si="19"/>
        <v>F177_</v>
      </c>
      <c r="F178" s="85">
        <f t="shared" si="20"/>
        <v>0</v>
      </c>
      <c r="G178" s="85">
        <f t="shared" si="21"/>
        <v>5</v>
      </c>
      <c r="H178" s="553" t="str">
        <f t="shared" si="22"/>
        <v>- -</v>
      </c>
      <c r="I178" s="554">
        <f t="shared" si="23"/>
        <v>0</v>
      </c>
      <c r="J178" s="554">
        <f t="shared" si="24"/>
        <v>0</v>
      </c>
      <c r="K178" s="362"/>
      <c r="L178" s="362"/>
      <c r="M178" s="362"/>
      <c r="N178" s="362"/>
      <c r="O178" s="362"/>
      <c r="P178" s="362"/>
      <c r="Q178" s="362"/>
      <c r="R178" s="9">
        <v>165</v>
      </c>
      <c r="S178" s="362"/>
    </row>
    <row r="179" spans="1:19">
      <c r="A179" s="450" t="str">
        <f t="shared" si="18"/>
        <v>- -</v>
      </c>
      <c r="B179" s="450"/>
      <c r="C179" s="450"/>
      <c r="D179" s="90" t="s">
        <v>313</v>
      </c>
      <c r="E179" s="552" t="str">
        <f t="shared" si="19"/>
        <v>F178_</v>
      </c>
      <c r="F179" s="85">
        <f t="shared" si="20"/>
        <v>0</v>
      </c>
      <c r="G179" s="85">
        <f t="shared" si="21"/>
        <v>5</v>
      </c>
      <c r="H179" s="553" t="str">
        <f t="shared" si="22"/>
        <v>- -</v>
      </c>
      <c r="I179" s="554">
        <f t="shared" si="23"/>
        <v>0</v>
      </c>
      <c r="J179" s="554">
        <f t="shared" si="24"/>
        <v>0</v>
      </c>
      <c r="K179" s="362"/>
      <c r="L179" s="362"/>
      <c r="M179" s="362"/>
      <c r="N179" s="362"/>
      <c r="O179" s="362"/>
      <c r="P179" s="362"/>
      <c r="Q179" s="362"/>
      <c r="R179" s="9">
        <v>166</v>
      </c>
      <c r="S179" s="362"/>
    </row>
    <row r="180" spans="1:19">
      <c r="A180" s="450" t="str">
        <f t="shared" si="18"/>
        <v>- -</v>
      </c>
      <c r="B180" s="450"/>
      <c r="C180" s="450"/>
      <c r="D180" s="90" t="s">
        <v>314</v>
      </c>
      <c r="E180" s="552" t="str">
        <f t="shared" si="19"/>
        <v>F179_</v>
      </c>
      <c r="F180" s="85">
        <f t="shared" si="20"/>
        <v>0</v>
      </c>
      <c r="G180" s="85">
        <f t="shared" si="21"/>
        <v>5</v>
      </c>
      <c r="H180" s="553" t="str">
        <f t="shared" si="22"/>
        <v>- -</v>
      </c>
      <c r="I180" s="554">
        <f t="shared" si="23"/>
        <v>0</v>
      </c>
      <c r="J180" s="554">
        <f t="shared" si="24"/>
        <v>0</v>
      </c>
      <c r="K180" s="362"/>
      <c r="L180" s="362"/>
      <c r="M180" s="362"/>
      <c r="N180" s="362"/>
      <c r="O180" s="362"/>
      <c r="P180" s="362"/>
      <c r="Q180" s="362"/>
      <c r="R180" s="9">
        <v>167</v>
      </c>
      <c r="S180" s="362"/>
    </row>
    <row r="181" spans="1:19">
      <c r="A181" s="450" t="str">
        <f t="shared" si="18"/>
        <v>- -</v>
      </c>
      <c r="B181" s="450"/>
      <c r="C181" s="450"/>
      <c r="D181" s="90" t="s">
        <v>315</v>
      </c>
      <c r="E181" s="552" t="str">
        <f t="shared" si="19"/>
        <v>F180_</v>
      </c>
      <c r="F181" s="85">
        <f t="shared" si="20"/>
        <v>0</v>
      </c>
      <c r="G181" s="85">
        <f t="shared" si="21"/>
        <v>5</v>
      </c>
      <c r="H181" s="553" t="str">
        <f t="shared" si="22"/>
        <v>- -</v>
      </c>
      <c r="I181" s="554">
        <f t="shared" si="23"/>
        <v>0</v>
      </c>
      <c r="J181" s="554">
        <f t="shared" si="24"/>
        <v>0</v>
      </c>
      <c r="K181" s="362"/>
      <c r="L181" s="362"/>
      <c r="M181" s="362"/>
      <c r="N181" s="362"/>
      <c r="O181" s="362"/>
      <c r="P181" s="362"/>
      <c r="Q181" s="362"/>
      <c r="R181" s="9">
        <v>168</v>
      </c>
      <c r="S181" s="362"/>
    </row>
    <row r="182" spans="1:19">
      <c r="A182" s="450" t="str">
        <f t="shared" si="18"/>
        <v>- -</v>
      </c>
      <c r="B182" s="450"/>
      <c r="C182" s="450"/>
      <c r="D182" s="90" t="s">
        <v>316</v>
      </c>
      <c r="E182" s="552" t="str">
        <f t="shared" si="19"/>
        <v>F181_</v>
      </c>
      <c r="F182" s="85">
        <f t="shared" si="20"/>
        <v>0</v>
      </c>
      <c r="G182" s="85">
        <f t="shared" si="21"/>
        <v>5</v>
      </c>
      <c r="H182" s="553" t="str">
        <f t="shared" si="22"/>
        <v>- -</v>
      </c>
      <c r="I182" s="554">
        <f t="shared" si="23"/>
        <v>0</v>
      </c>
      <c r="J182" s="554">
        <f t="shared" si="24"/>
        <v>0</v>
      </c>
      <c r="K182" s="362"/>
      <c r="L182" s="362"/>
      <c r="M182" s="362"/>
      <c r="N182" s="362"/>
      <c r="O182" s="362"/>
      <c r="P182" s="362"/>
      <c r="Q182" s="362"/>
      <c r="R182" s="9">
        <v>169</v>
      </c>
      <c r="S182" s="362"/>
    </row>
    <row r="183" spans="1:19">
      <c r="A183" s="450" t="str">
        <f t="shared" si="18"/>
        <v>- -</v>
      </c>
      <c r="B183" s="450"/>
      <c r="C183" s="450"/>
      <c r="D183" s="90" t="s">
        <v>317</v>
      </c>
      <c r="E183" s="552" t="str">
        <f t="shared" si="19"/>
        <v>F182_</v>
      </c>
      <c r="F183" s="85">
        <f t="shared" si="20"/>
        <v>0</v>
      </c>
      <c r="G183" s="85">
        <f t="shared" si="21"/>
        <v>5</v>
      </c>
      <c r="H183" s="553" t="str">
        <f t="shared" si="22"/>
        <v>- -</v>
      </c>
      <c r="I183" s="554">
        <f t="shared" si="23"/>
        <v>0</v>
      </c>
      <c r="J183" s="554">
        <f t="shared" si="24"/>
        <v>0</v>
      </c>
      <c r="K183" s="362"/>
      <c r="L183" s="362"/>
      <c r="M183" s="362"/>
      <c r="N183" s="362"/>
      <c r="O183" s="362"/>
      <c r="P183" s="362"/>
      <c r="Q183" s="362"/>
      <c r="R183" s="9">
        <v>170</v>
      </c>
      <c r="S183" s="362"/>
    </row>
    <row r="184" spans="1:19">
      <c r="A184" s="450" t="str">
        <f t="shared" si="18"/>
        <v>- -</v>
      </c>
      <c r="B184" s="450"/>
      <c r="C184" s="450"/>
      <c r="D184" s="90" t="s">
        <v>318</v>
      </c>
      <c r="E184" s="552" t="str">
        <f t="shared" si="19"/>
        <v>F183_</v>
      </c>
      <c r="F184" s="85">
        <f t="shared" si="20"/>
        <v>0</v>
      </c>
      <c r="G184" s="85">
        <f t="shared" si="21"/>
        <v>5</v>
      </c>
      <c r="H184" s="553" t="str">
        <f t="shared" si="22"/>
        <v>- -</v>
      </c>
      <c r="I184" s="554">
        <f t="shared" si="23"/>
        <v>0</v>
      </c>
      <c r="J184" s="554">
        <f t="shared" si="24"/>
        <v>0</v>
      </c>
      <c r="K184" s="362"/>
      <c r="L184" s="362"/>
      <c r="M184" s="362"/>
      <c r="N184" s="362"/>
      <c r="O184" s="362"/>
      <c r="P184" s="362"/>
      <c r="Q184" s="362"/>
      <c r="R184" s="9">
        <v>171</v>
      </c>
      <c r="S184" s="362"/>
    </row>
    <row r="185" spans="1:19">
      <c r="A185"/>
      <c r="B185"/>
      <c r="C185"/>
      <c r="D185"/>
      <c r="E185"/>
      <c r="F185"/>
      <c r="G185"/>
      <c r="H185"/>
      <c r="I185"/>
      <c r="K185"/>
      <c r="L185"/>
      <c r="M185"/>
      <c r="N185"/>
      <c r="O185"/>
      <c r="P185"/>
      <c r="Q185"/>
      <c r="R185"/>
      <c r="S185"/>
    </row>
    <row r="186" spans="1:19">
      <c r="A186"/>
      <c r="B186"/>
      <c r="C186" s="485" t="s">
        <v>254</v>
      </c>
      <c r="D186" s="484" t="s">
        <v>255</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c r="B208"/>
      <c r="C208"/>
      <c r="D208"/>
      <c r="E208"/>
      <c r="F208"/>
      <c r="G208"/>
      <c r="H208"/>
      <c r="I208"/>
      <c r="K208"/>
      <c r="L208"/>
      <c r="M208"/>
      <c r="N208"/>
      <c r="O208"/>
      <c r="P208"/>
      <c r="Q208"/>
      <c r="R208"/>
      <c r="S208"/>
    </row>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sheetProtection algorithmName="SHA-1" hashValue="ZHfCMc1DsNlCZBjpcB1CGslANIE=" saltValue="y88u+pENY2jCksrmqSzqJw==" spinCount="100000" sheet="1" objects="1" scenarios="1"/>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A5:A88 A91:A184">
    <cfRule type="cellIs" dxfId="896" priority="28" stopIfTrue="1" operator="notEqual">
      <formula>"- -"</formula>
    </cfRule>
  </conditionalFormatting>
  <conditionalFormatting sqref="C5">
    <cfRule type="cellIs" dxfId="895" priority="31" stopIfTrue="1" operator="equal">
      <formula>#REF!</formula>
    </cfRule>
  </conditionalFormatting>
  <conditionalFormatting sqref="C6:C14 C23:C25 C27:C33 C35:C37 C46:C47 C50:C54 C57:C61 C63:C67 C70 C75:C77 C79 C81 C86:C90 C95:C97 C101:C102 C104:C108 C111:C113 C115 C125 C128 C134:C143 C152 C160 C168 C170 C172">
    <cfRule type="cellIs" dxfId="894" priority="4" stopIfTrue="1" operator="equal">
      <formula>C5</formula>
    </cfRule>
  </conditionalFormatting>
  <conditionalFormatting sqref="C15:C17 C71:C72 C80 C92:C93 C114 C122 C124">
    <cfRule type="cellIs" dxfId="893" priority="30" stopIfTrue="1" operator="equal">
      <formula>#REF!</formula>
    </cfRule>
  </conditionalFormatting>
  <conditionalFormatting sqref="C19 C26 C34 C45 C62 C74 C94 C103 C121">
    <cfRule type="cellIs" dxfId="892" priority="5" stopIfTrue="1" operator="equal">
      <formula>C17</formula>
    </cfRule>
  </conditionalFormatting>
  <conditionalFormatting sqref="C22">
    <cfRule type="cellIs" dxfId="891" priority="15" stopIfTrue="1" operator="equal">
      <formula>C159</formula>
    </cfRule>
  </conditionalFormatting>
  <conditionalFormatting sqref="C43:C44 C158">
    <cfRule type="cellIs" dxfId="890" priority="8" stopIfTrue="1" operator="equal">
      <formula>C37</formula>
    </cfRule>
  </conditionalFormatting>
  <conditionalFormatting sqref="C49 C78 C91 C109">
    <cfRule type="cellIs" dxfId="889" priority="23" stopIfTrue="1" operator="equal">
      <formula>C46</formula>
    </cfRule>
  </conditionalFormatting>
  <conditionalFormatting sqref="C56">
    <cfRule type="cellIs" dxfId="888" priority="20" stopIfTrue="1" operator="equal">
      <formula>C163</formula>
    </cfRule>
  </conditionalFormatting>
  <conditionalFormatting sqref="C69">
    <cfRule type="cellIs" dxfId="887" priority="11" stopIfTrue="1" operator="equal">
      <formula>C153</formula>
    </cfRule>
  </conditionalFormatting>
  <conditionalFormatting sqref="C85">
    <cfRule type="cellIs" dxfId="886" priority="21" stopIfTrue="1" operator="equal">
      <formula>C157</formula>
    </cfRule>
  </conditionalFormatting>
  <conditionalFormatting sqref="C100">
    <cfRule type="cellIs" dxfId="885" priority="18" stopIfTrue="1" operator="equal">
      <formula>C161</formula>
    </cfRule>
  </conditionalFormatting>
  <conditionalFormatting sqref="C110 C120 C159">
    <cfRule type="cellIs" dxfId="884" priority="6" stopIfTrue="1" operator="equal">
      <formula>C106</formula>
    </cfRule>
  </conditionalFormatting>
  <conditionalFormatting sqref="C116:C118">
    <cfRule type="cellIs" dxfId="883" priority="17" stopIfTrue="1" operator="equal">
      <formula>C160</formula>
    </cfRule>
  </conditionalFormatting>
  <conditionalFormatting sqref="C119 C157 C161">
    <cfRule type="cellIs" dxfId="882" priority="13" stopIfTrue="1" operator="equal">
      <formula>C120</formula>
    </cfRule>
  </conditionalFormatting>
  <conditionalFormatting sqref="C125 C41:C42">
    <cfRule type="cellIs" dxfId="881" priority="7" stopIfTrue="1" operator="equal">
      <formula>C36</formula>
    </cfRule>
  </conditionalFormatting>
  <conditionalFormatting sqref="C126:C127">
    <cfRule type="cellIs" dxfId="880" priority="24" stopIfTrue="1" operator="equal">
      <formula>C119</formula>
    </cfRule>
  </conditionalFormatting>
  <conditionalFormatting sqref="C152">
    <cfRule type="cellIs" dxfId="879" priority="9" stopIfTrue="1" operator="equal">
      <formula>C81</formula>
    </cfRule>
  </conditionalFormatting>
  <conditionalFormatting sqref="C153">
    <cfRule type="cellIs" dxfId="878" priority="10" stopIfTrue="1" operator="equal">
      <formula>C67</formula>
    </cfRule>
  </conditionalFormatting>
  <conditionalFormatting sqref="C154">
    <cfRule type="cellIs" dxfId="877" priority="27" stopIfTrue="1" operator="equal">
      <formula>C91</formula>
    </cfRule>
  </conditionalFormatting>
  <conditionalFormatting sqref="C155">
    <cfRule type="cellIs" dxfId="876" priority="14" stopIfTrue="1" operator="equal">
      <formula>C19</formula>
    </cfRule>
  </conditionalFormatting>
  <conditionalFormatting sqref="C156">
    <cfRule type="cellIs" dxfId="875" priority="29" stopIfTrue="1" operator="equal">
      <formula>#REF!</formula>
    </cfRule>
  </conditionalFormatting>
  <conditionalFormatting sqref="C160">
    <cfRule type="cellIs" dxfId="874" priority="16" stopIfTrue="1" operator="equal">
      <formula>C115</formula>
    </cfRule>
  </conditionalFormatting>
  <conditionalFormatting sqref="C162">
    <cfRule type="cellIs" dxfId="873" priority="12" stopIfTrue="1" operator="equal">
      <formula>C97</formula>
    </cfRule>
  </conditionalFormatting>
  <conditionalFormatting sqref="C163">
    <cfRule type="cellIs" dxfId="872" priority="19" stopIfTrue="1" operator="equal">
      <formula>C54</formula>
    </cfRule>
  </conditionalFormatting>
  <conditionalFormatting sqref="C166">
    <cfRule type="cellIs" dxfId="871" priority="3" stopIfTrue="1" operator="equal">
      <formula>C155</formula>
    </cfRule>
  </conditionalFormatting>
  <conditionalFormatting sqref="C133:D133">
    <cfRule type="cellIs" dxfId="870" priority="1" stopIfTrue="1" operator="equal">
      <formula>C122</formula>
    </cfRule>
  </conditionalFormatting>
  <conditionalFormatting sqref="E5:E184">
    <cfRule type="cellIs" dxfId="869" priority="26" stopIfTrue="1" operator="equal">
      <formula>#REF!</formula>
    </cfRule>
  </conditionalFormatting>
  <conditionalFormatting sqref="H5:J184">
    <cfRule type="expression" dxfId="868" priority="25" stopIfTrue="1">
      <formula>($I5&lt;&gt;$J5)</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automobile/2026/[electronic-car-log-2025-fr.xlsx]07</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07</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juillet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July</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7</v>
      </c>
      <c r="AE6" s="144" t="str">
        <f ca="1">TEXT(DATE($AE$7,$AD$6,1),"Mmmm, YYYY")</f>
        <v>July,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46203</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juillet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July</v>
      </c>
      <c r="V18" s="510" t="str">
        <f ca="1">AE6</f>
        <v>July,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juillet</v>
      </c>
      <c r="V19" s="510" t="str">
        <f ca="1">U19&amp;" "&amp;Year_four_digits</f>
        <v>juillet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Mer.  1 juillet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Mer</v>
      </c>
      <c r="U20" s="186" t="str">
        <f ca="1">$U$19</f>
        <v>juillet</v>
      </c>
      <c r="X20" s="347">
        <f ca="1">$AE$8+D20</f>
        <v>46204</v>
      </c>
      <c r="Y20" s="452" t="str">
        <f ca="1">IF(Y14="f",T20&amp;". "&amp;" "&amp;R20&amp;" "&amp;U20&amp;" "&amp;$AE$7,T20&amp;". "&amp;U20&amp;" "&amp;R20&amp;", "&amp;$AE$7)</f>
        <v>Mer.  1 juillet 2026</v>
      </c>
      <c r="Z20" s="143">
        <f t="shared" ref="Z20:Z83" ca="1" si="4">MIN(R20,$AF$5)</f>
        <v>1</v>
      </c>
      <c r="AA20" s="348">
        <f t="shared" ref="AA20:AA83" ca="1" si="5">$AD$6</f>
        <v>7</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Mar</v>
      </c>
      <c r="U21" s="186" t="str">
        <f t="shared" ref="U21:U84" ca="1" si="13">$U$19</f>
        <v>juillet</v>
      </c>
      <c r="X21" s="347">
        <f ca="1">$AE$8+D21</f>
        <v>46203</v>
      </c>
      <c r="Y21" s="452" t="str">
        <f t="shared" ref="Y21:Y84" ca="1" si="14">IF(Y15="f",T21&amp;". "&amp;" "&amp;R21&amp;" "&amp;U21&amp;" "&amp;$AE$7,T21&amp;". "&amp;U21&amp;" "&amp;R21&amp;", "&amp;$AE$7)</f>
        <v>Mar. juillet , 2026</v>
      </c>
      <c r="Z21" s="143">
        <f t="shared" ca="1" si="4"/>
        <v>31</v>
      </c>
      <c r="AA21" s="348">
        <f t="shared" ca="1" si="5"/>
        <v>7</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Mar</v>
      </c>
      <c r="U22" s="186" t="str">
        <f t="shared" ca="1" si="13"/>
        <v>juillet</v>
      </c>
      <c r="X22" s="347">
        <f t="shared" ref="X22:X85" ca="1" si="17">$AE$8+D22</f>
        <v>46203</v>
      </c>
      <c r="Y22" s="452" t="str">
        <f t="shared" ca="1" si="14"/>
        <v>Mar. juillet , 2026</v>
      </c>
      <c r="Z22" s="143">
        <f t="shared" ca="1" si="4"/>
        <v>31</v>
      </c>
      <c r="AA22" s="348">
        <f t="shared" ca="1" si="5"/>
        <v>7</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Mar</v>
      </c>
      <c r="U23" s="186" t="str">
        <f t="shared" ca="1" si="13"/>
        <v>juillet</v>
      </c>
      <c r="X23" s="347">
        <f t="shared" ca="1" si="17"/>
        <v>46203</v>
      </c>
      <c r="Y23" s="452" t="str">
        <f t="shared" ca="1" si="14"/>
        <v>Mar. juillet , 2026</v>
      </c>
      <c r="Z23" s="143">
        <f t="shared" ca="1" si="4"/>
        <v>31</v>
      </c>
      <c r="AA23" s="348">
        <f t="shared" ca="1" si="5"/>
        <v>7</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Mar</v>
      </c>
      <c r="U24" s="186" t="str">
        <f t="shared" ca="1" si="13"/>
        <v>juillet</v>
      </c>
      <c r="X24" s="347">
        <f t="shared" ca="1" si="17"/>
        <v>46203</v>
      </c>
      <c r="Y24" s="452" t="str">
        <f t="shared" ca="1" si="14"/>
        <v>Mar. juillet , 2026</v>
      </c>
      <c r="Z24" s="143">
        <f t="shared" ca="1" si="4"/>
        <v>31</v>
      </c>
      <c r="AA24" s="348">
        <f t="shared" ca="1" si="5"/>
        <v>7</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Mar</v>
      </c>
      <c r="U25" s="186" t="str">
        <f t="shared" ca="1" si="13"/>
        <v>juillet</v>
      </c>
      <c r="X25" s="347">
        <f t="shared" ca="1" si="17"/>
        <v>46203</v>
      </c>
      <c r="Y25" s="452" t="str">
        <f t="shared" ca="1" si="14"/>
        <v>Mar. juillet , 2026</v>
      </c>
      <c r="Z25" s="143">
        <f t="shared" ca="1" si="4"/>
        <v>31</v>
      </c>
      <c r="AA25" s="348">
        <f t="shared" ca="1" si="5"/>
        <v>7</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Mar</v>
      </c>
      <c r="U26" s="186" t="str">
        <f t="shared" ca="1" si="13"/>
        <v>juillet</v>
      </c>
      <c r="X26" s="347">
        <f t="shared" ca="1" si="17"/>
        <v>46203</v>
      </c>
      <c r="Y26" s="452" t="str">
        <f t="shared" ca="1" si="14"/>
        <v>Mar. juillet , 2026</v>
      </c>
      <c r="Z26" s="143">
        <f t="shared" ca="1" si="4"/>
        <v>31</v>
      </c>
      <c r="AA26" s="348">
        <f t="shared" ca="1" si="5"/>
        <v>7</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Mar</v>
      </c>
      <c r="U27" s="186" t="str">
        <f t="shared" ca="1" si="13"/>
        <v>juillet</v>
      </c>
      <c r="X27" s="347">
        <f t="shared" ca="1" si="17"/>
        <v>46203</v>
      </c>
      <c r="Y27" s="452" t="str">
        <f t="shared" ca="1" si="14"/>
        <v>Mar. juillet , 2026</v>
      </c>
      <c r="Z27" s="143">
        <f t="shared" ca="1" si="4"/>
        <v>31</v>
      </c>
      <c r="AA27" s="348">
        <f t="shared" ca="1" si="5"/>
        <v>7</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Mar</v>
      </c>
      <c r="U28" s="186" t="str">
        <f t="shared" ca="1" si="13"/>
        <v>juillet</v>
      </c>
      <c r="X28" s="347">
        <f t="shared" ca="1" si="17"/>
        <v>46203</v>
      </c>
      <c r="Y28" s="452" t="str">
        <f t="shared" ca="1" si="14"/>
        <v>Mar. juillet , 2026</v>
      </c>
      <c r="Z28" s="143">
        <f t="shared" ca="1" si="4"/>
        <v>31</v>
      </c>
      <c r="AA28" s="348">
        <f t="shared" ca="1" si="5"/>
        <v>7</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Mar</v>
      </c>
      <c r="U29" s="186" t="str">
        <f t="shared" ca="1" si="13"/>
        <v>juillet</v>
      </c>
      <c r="X29" s="347">
        <f t="shared" ca="1" si="17"/>
        <v>46203</v>
      </c>
      <c r="Y29" s="452" t="str">
        <f t="shared" ca="1" si="14"/>
        <v>Mar. juillet , 2026</v>
      </c>
      <c r="Z29" s="143">
        <f t="shared" ca="1" si="4"/>
        <v>31</v>
      </c>
      <c r="AA29" s="348">
        <f t="shared" ca="1" si="5"/>
        <v>7</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Mar</v>
      </c>
      <c r="U30" s="186" t="str">
        <f t="shared" ca="1" si="13"/>
        <v>juillet</v>
      </c>
      <c r="X30" s="347">
        <f t="shared" ca="1" si="17"/>
        <v>46203</v>
      </c>
      <c r="Y30" s="452" t="str">
        <f t="shared" ca="1" si="14"/>
        <v>Mar. juillet , 2026</v>
      </c>
      <c r="Z30" s="143">
        <f t="shared" ca="1" si="4"/>
        <v>31</v>
      </c>
      <c r="AA30" s="348">
        <f t="shared" ca="1" si="5"/>
        <v>7</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Mar</v>
      </c>
      <c r="U31" s="186" t="str">
        <f t="shared" ca="1" si="13"/>
        <v>juillet</v>
      </c>
      <c r="X31" s="347">
        <f t="shared" ca="1" si="17"/>
        <v>46203</v>
      </c>
      <c r="Y31" s="452" t="str">
        <f t="shared" ca="1" si="14"/>
        <v>Mar. juillet , 2026</v>
      </c>
      <c r="Z31" s="143">
        <f t="shared" ca="1" si="4"/>
        <v>31</v>
      </c>
      <c r="AA31" s="348">
        <f t="shared" ca="1" si="5"/>
        <v>7</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Mar</v>
      </c>
      <c r="U32" s="186" t="str">
        <f t="shared" ca="1" si="13"/>
        <v>juillet</v>
      </c>
      <c r="X32" s="347">
        <f t="shared" ca="1" si="17"/>
        <v>46203</v>
      </c>
      <c r="Y32" s="452" t="str">
        <f t="shared" ca="1" si="14"/>
        <v>Mar. juillet , 2026</v>
      </c>
      <c r="Z32" s="143">
        <f t="shared" ca="1" si="4"/>
        <v>31</v>
      </c>
      <c r="AA32" s="348">
        <f t="shared" ca="1" si="5"/>
        <v>7</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Mar</v>
      </c>
      <c r="U33" s="186" t="str">
        <f t="shared" ca="1" si="13"/>
        <v>juillet</v>
      </c>
      <c r="X33" s="347">
        <f t="shared" ca="1" si="17"/>
        <v>46203</v>
      </c>
      <c r="Y33" s="452" t="str">
        <f t="shared" ca="1" si="14"/>
        <v>Mar. juillet , 2026</v>
      </c>
      <c r="Z33" s="143">
        <f t="shared" ca="1" si="4"/>
        <v>31</v>
      </c>
      <c r="AA33" s="348">
        <f t="shared" ca="1" si="5"/>
        <v>7</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Mar</v>
      </c>
      <c r="U34" s="186" t="str">
        <f t="shared" ca="1" si="13"/>
        <v>juillet</v>
      </c>
      <c r="X34" s="347">
        <f t="shared" ca="1" si="17"/>
        <v>46203</v>
      </c>
      <c r="Y34" s="452" t="str">
        <f t="shared" ca="1" si="14"/>
        <v>Mar. juillet , 2026</v>
      </c>
      <c r="Z34" s="143">
        <f t="shared" ca="1" si="4"/>
        <v>31</v>
      </c>
      <c r="AA34" s="348">
        <f t="shared" ca="1" si="5"/>
        <v>7</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Mar</v>
      </c>
      <c r="U35" s="186" t="str">
        <f t="shared" ca="1" si="13"/>
        <v>juillet</v>
      </c>
      <c r="X35" s="347">
        <f t="shared" ca="1" si="17"/>
        <v>46203</v>
      </c>
      <c r="Y35" s="452" t="str">
        <f t="shared" ca="1" si="14"/>
        <v>Mar. juillet , 2026</v>
      </c>
      <c r="Z35" s="143">
        <f t="shared" ca="1" si="4"/>
        <v>31</v>
      </c>
      <c r="AA35" s="348">
        <f t="shared" ca="1" si="5"/>
        <v>7</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Mar</v>
      </c>
      <c r="U36" s="186" t="str">
        <f t="shared" ca="1" si="13"/>
        <v>juillet</v>
      </c>
      <c r="X36" s="347">
        <f t="shared" ca="1" si="17"/>
        <v>46203</v>
      </c>
      <c r="Y36" s="452" t="str">
        <f t="shared" ca="1" si="14"/>
        <v>Mar. juillet , 2026</v>
      </c>
      <c r="Z36" s="143">
        <f t="shared" ca="1" si="4"/>
        <v>31</v>
      </c>
      <c r="AA36" s="348">
        <f t="shared" ca="1" si="5"/>
        <v>7</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Mar</v>
      </c>
      <c r="U37" s="186" t="str">
        <f t="shared" ca="1" si="13"/>
        <v>juillet</v>
      </c>
      <c r="X37" s="347">
        <f t="shared" ca="1" si="17"/>
        <v>46203</v>
      </c>
      <c r="Y37" s="452" t="str">
        <f t="shared" ca="1" si="14"/>
        <v>Mar. juillet , 2026</v>
      </c>
      <c r="Z37" s="143">
        <f t="shared" ca="1" si="4"/>
        <v>31</v>
      </c>
      <c r="AA37" s="348">
        <f t="shared" ca="1" si="5"/>
        <v>7</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Mar</v>
      </c>
      <c r="U38" s="186" t="str">
        <f t="shared" ca="1" si="13"/>
        <v>juillet</v>
      </c>
      <c r="X38" s="347">
        <f t="shared" ca="1" si="17"/>
        <v>46203</v>
      </c>
      <c r="Y38" s="452" t="str">
        <f t="shared" ca="1" si="14"/>
        <v>Mar. juillet , 2026</v>
      </c>
      <c r="Z38" s="143">
        <f t="shared" ca="1" si="4"/>
        <v>31</v>
      </c>
      <c r="AA38" s="348">
        <f t="shared" ca="1" si="5"/>
        <v>7</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Mar</v>
      </c>
      <c r="U39" s="186" t="str">
        <f t="shared" ca="1" si="13"/>
        <v>juillet</v>
      </c>
      <c r="X39" s="347">
        <f t="shared" ca="1" si="17"/>
        <v>46203</v>
      </c>
      <c r="Y39" s="452" t="str">
        <f t="shared" ca="1" si="14"/>
        <v>Mar. juillet , 2026</v>
      </c>
      <c r="Z39" s="143">
        <f t="shared" ca="1" si="4"/>
        <v>31</v>
      </c>
      <c r="AA39" s="348">
        <f t="shared" ca="1" si="5"/>
        <v>7</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Mar</v>
      </c>
      <c r="U40" s="186" t="str">
        <f t="shared" ca="1" si="13"/>
        <v>juillet</v>
      </c>
      <c r="X40" s="347">
        <f t="shared" ca="1" si="17"/>
        <v>46203</v>
      </c>
      <c r="Y40" s="452" t="str">
        <f t="shared" ca="1" si="14"/>
        <v>Mar. juillet , 2026</v>
      </c>
      <c r="Z40" s="143">
        <f t="shared" ca="1" si="4"/>
        <v>31</v>
      </c>
      <c r="AA40" s="348">
        <f t="shared" ca="1" si="5"/>
        <v>7</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Mar</v>
      </c>
      <c r="U41" s="186" t="str">
        <f t="shared" ca="1" si="13"/>
        <v>juillet</v>
      </c>
      <c r="X41" s="347">
        <f t="shared" ca="1" si="17"/>
        <v>46203</v>
      </c>
      <c r="Y41" s="452" t="str">
        <f t="shared" ca="1" si="14"/>
        <v>Mar. juillet , 2026</v>
      </c>
      <c r="Z41" s="143">
        <f t="shared" ca="1" si="4"/>
        <v>31</v>
      </c>
      <c r="AA41" s="348">
        <f t="shared" ca="1" si="5"/>
        <v>7</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Mar</v>
      </c>
      <c r="U42" s="186" t="str">
        <f t="shared" ca="1" si="13"/>
        <v>juillet</v>
      </c>
      <c r="X42" s="347">
        <f t="shared" ca="1" si="17"/>
        <v>46203</v>
      </c>
      <c r="Y42" s="452" t="str">
        <f t="shared" ca="1" si="14"/>
        <v>Mar. juillet , 2026</v>
      </c>
      <c r="Z42" s="143">
        <f t="shared" ca="1" si="4"/>
        <v>31</v>
      </c>
      <c r="AA42" s="348">
        <f t="shared" ca="1" si="5"/>
        <v>7</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Mar</v>
      </c>
      <c r="U43" s="186" t="str">
        <f t="shared" ca="1" si="13"/>
        <v>juillet</v>
      </c>
      <c r="X43" s="347">
        <f t="shared" ca="1" si="17"/>
        <v>46203</v>
      </c>
      <c r="Y43" s="452" t="str">
        <f t="shared" ca="1" si="14"/>
        <v>Mar. juillet , 2026</v>
      </c>
      <c r="Z43" s="143">
        <f t="shared" ca="1" si="4"/>
        <v>31</v>
      </c>
      <c r="AA43" s="348">
        <f t="shared" ca="1" si="5"/>
        <v>7</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Mar</v>
      </c>
      <c r="U44" s="186" t="str">
        <f t="shared" ca="1" si="13"/>
        <v>juillet</v>
      </c>
      <c r="X44" s="347">
        <f t="shared" ca="1" si="17"/>
        <v>46203</v>
      </c>
      <c r="Y44" s="452" t="str">
        <f t="shared" ca="1" si="14"/>
        <v>Mar. juillet , 2026</v>
      </c>
      <c r="Z44" s="143">
        <f t="shared" ca="1" si="4"/>
        <v>31</v>
      </c>
      <c r="AA44" s="348">
        <f t="shared" ca="1" si="5"/>
        <v>7</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Mar</v>
      </c>
      <c r="U45" s="186" t="str">
        <f t="shared" ca="1" si="13"/>
        <v>juillet</v>
      </c>
      <c r="X45" s="347">
        <f t="shared" ca="1" si="17"/>
        <v>46203</v>
      </c>
      <c r="Y45" s="452" t="str">
        <f t="shared" ca="1" si="14"/>
        <v>Mar. juillet , 2026</v>
      </c>
      <c r="Z45" s="143">
        <f t="shared" ca="1" si="4"/>
        <v>31</v>
      </c>
      <c r="AA45" s="348">
        <f t="shared" ca="1" si="5"/>
        <v>7</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Mar</v>
      </c>
      <c r="U46" s="186" t="str">
        <f t="shared" ca="1" si="13"/>
        <v>juillet</v>
      </c>
      <c r="X46" s="347">
        <f t="shared" ca="1" si="17"/>
        <v>46203</v>
      </c>
      <c r="Y46" s="452" t="str">
        <f t="shared" ca="1" si="14"/>
        <v>Mar. juillet , 2026</v>
      </c>
      <c r="Z46" s="143">
        <f t="shared" ca="1" si="4"/>
        <v>31</v>
      </c>
      <c r="AA46" s="348">
        <f t="shared" ca="1" si="5"/>
        <v>7</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Mar</v>
      </c>
      <c r="U47" s="186" t="str">
        <f t="shared" ca="1" si="13"/>
        <v>juillet</v>
      </c>
      <c r="X47" s="347">
        <f t="shared" ca="1" si="17"/>
        <v>46203</v>
      </c>
      <c r="Y47" s="452" t="str">
        <f t="shared" ca="1" si="14"/>
        <v>Mar. juillet , 2026</v>
      </c>
      <c r="Z47" s="143">
        <f t="shared" ca="1" si="4"/>
        <v>31</v>
      </c>
      <c r="AA47" s="348">
        <f t="shared" ca="1" si="5"/>
        <v>7</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Mar</v>
      </c>
      <c r="U48" s="186" t="str">
        <f t="shared" ca="1" si="13"/>
        <v>juillet</v>
      </c>
      <c r="X48" s="347">
        <f t="shared" ca="1" si="17"/>
        <v>46203</v>
      </c>
      <c r="Y48" s="452" t="str">
        <f t="shared" ca="1" si="14"/>
        <v>Mar. juillet , 2026</v>
      </c>
      <c r="Z48" s="143">
        <f t="shared" ca="1" si="4"/>
        <v>31</v>
      </c>
      <c r="AA48" s="348">
        <f t="shared" ca="1" si="5"/>
        <v>7</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Mar</v>
      </c>
      <c r="U49" s="186" t="str">
        <f t="shared" ca="1" si="13"/>
        <v>juillet</v>
      </c>
      <c r="X49" s="347">
        <f t="shared" ca="1" si="17"/>
        <v>46203</v>
      </c>
      <c r="Y49" s="452" t="str">
        <f t="shared" ca="1" si="14"/>
        <v>Mar. juillet , 2026</v>
      </c>
      <c r="Z49" s="143">
        <f t="shared" ca="1" si="4"/>
        <v>31</v>
      </c>
      <c r="AA49" s="348">
        <f t="shared" ca="1" si="5"/>
        <v>7</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Mar</v>
      </c>
      <c r="U50" s="186" t="str">
        <f t="shared" ca="1" si="13"/>
        <v>juillet</v>
      </c>
      <c r="X50" s="347">
        <f t="shared" ca="1" si="17"/>
        <v>46203</v>
      </c>
      <c r="Y50" s="452" t="str">
        <f t="shared" ca="1" si="14"/>
        <v>Mar. juillet , 2026</v>
      </c>
      <c r="Z50" s="143">
        <f t="shared" ca="1" si="4"/>
        <v>31</v>
      </c>
      <c r="AA50" s="348">
        <f t="shared" ca="1" si="5"/>
        <v>7</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Mar</v>
      </c>
      <c r="U51" s="186" t="str">
        <f t="shared" ca="1" si="13"/>
        <v>juillet</v>
      </c>
      <c r="X51" s="347">
        <f t="shared" ca="1" si="17"/>
        <v>46203</v>
      </c>
      <c r="Y51" s="452" t="str">
        <f t="shared" ca="1" si="14"/>
        <v>Mar. juillet , 2026</v>
      </c>
      <c r="Z51" s="143">
        <f t="shared" ca="1" si="4"/>
        <v>31</v>
      </c>
      <c r="AA51" s="348">
        <f t="shared" ca="1" si="5"/>
        <v>7</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Mar</v>
      </c>
      <c r="U52" s="186" t="str">
        <f t="shared" ca="1" si="13"/>
        <v>juillet</v>
      </c>
      <c r="X52" s="347">
        <f t="shared" ca="1" si="17"/>
        <v>46203</v>
      </c>
      <c r="Y52" s="452" t="str">
        <f t="shared" ca="1" si="14"/>
        <v>Mar. juillet , 2026</v>
      </c>
      <c r="Z52" s="143">
        <f t="shared" ca="1" si="4"/>
        <v>31</v>
      </c>
      <c r="AA52" s="348">
        <f t="shared" ca="1" si="5"/>
        <v>7</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Mar</v>
      </c>
      <c r="U53" s="186" t="str">
        <f t="shared" ca="1" si="13"/>
        <v>juillet</v>
      </c>
      <c r="X53" s="347">
        <f t="shared" ca="1" si="17"/>
        <v>46203</v>
      </c>
      <c r="Y53" s="452" t="str">
        <f t="shared" ca="1" si="14"/>
        <v>Mar. juillet , 2026</v>
      </c>
      <c r="Z53" s="143">
        <f t="shared" ca="1" si="4"/>
        <v>31</v>
      </c>
      <c r="AA53" s="348">
        <f t="shared" ca="1" si="5"/>
        <v>7</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Mar</v>
      </c>
      <c r="U54" s="186" t="str">
        <f t="shared" ca="1" si="13"/>
        <v>juillet</v>
      </c>
      <c r="X54" s="347">
        <f t="shared" ca="1" si="17"/>
        <v>46203</v>
      </c>
      <c r="Y54" s="452" t="str">
        <f t="shared" ca="1" si="14"/>
        <v>Mar. juillet , 2026</v>
      </c>
      <c r="Z54" s="143">
        <f t="shared" ca="1" si="4"/>
        <v>31</v>
      </c>
      <c r="AA54" s="348">
        <f t="shared" ca="1" si="5"/>
        <v>7</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Mar</v>
      </c>
      <c r="U55" s="186" t="str">
        <f t="shared" ca="1" si="13"/>
        <v>juillet</v>
      </c>
      <c r="X55" s="347">
        <f t="shared" ca="1" si="17"/>
        <v>46203</v>
      </c>
      <c r="Y55" s="452" t="str">
        <f t="shared" ca="1" si="14"/>
        <v>Mar. juillet , 2026</v>
      </c>
      <c r="Z55" s="143">
        <f t="shared" ca="1" si="4"/>
        <v>31</v>
      </c>
      <c r="AA55" s="348">
        <f t="shared" ca="1" si="5"/>
        <v>7</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Mar</v>
      </c>
      <c r="U56" s="186" t="str">
        <f t="shared" ca="1" si="13"/>
        <v>juillet</v>
      </c>
      <c r="X56" s="347">
        <f t="shared" ca="1" si="17"/>
        <v>46203</v>
      </c>
      <c r="Y56" s="452" t="str">
        <f t="shared" ca="1" si="14"/>
        <v>Mar. juillet , 2026</v>
      </c>
      <c r="Z56" s="143">
        <f t="shared" ca="1" si="4"/>
        <v>31</v>
      </c>
      <c r="AA56" s="348">
        <f t="shared" ca="1" si="5"/>
        <v>7</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Mar</v>
      </c>
      <c r="U57" s="186" t="str">
        <f t="shared" ca="1" si="13"/>
        <v>juillet</v>
      </c>
      <c r="X57" s="347">
        <f t="shared" ca="1" si="17"/>
        <v>46203</v>
      </c>
      <c r="Y57" s="452" t="str">
        <f t="shared" ca="1" si="14"/>
        <v>Mar. juillet , 2026</v>
      </c>
      <c r="Z57" s="143">
        <f t="shared" ca="1" si="4"/>
        <v>31</v>
      </c>
      <c r="AA57" s="348">
        <f t="shared" ca="1" si="5"/>
        <v>7</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Mar</v>
      </c>
      <c r="U58" s="186" t="str">
        <f t="shared" ca="1" si="13"/>
        <v>juillet</v>
      </c>
      <c r="X58" s="347">
        <f t="shared" ca="1" si="17"/>
        <v>46203</v>
      </c>
      <c r="Y58" s="452" t="str">
        <f t="shared" ca="1" si="14"/>
        <v>Mar. juillet , 2026</v>
      </c>
      <c r="Z58" s="143">
        <f t="shared" ca="1" si="4"/>
        <v>31</v>
      </c>
      <c r="AA58" s="348">
        <f t="shared" ca="1" si="5"/>
        <v>7</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Mar</v>
      </c>
      <c r="U59" s="186" t="str">
        <f t="shared" ca="1" si="13"/>
        <v>juillet</v>
      </c>
      <c r="X59" s="347">
        <f t="shared" ca="1" si="17"/>
        <v>46203</v>
      </c>
      <c r="Y59" s="452" t="str">
        <f t="shared" ca="1" si="14"/>
        <v>Mar. juillet , 2026</v>
      </c>
      <c r="Z59" s="143">
        <f t="shared" ca="1" si="4"/>
        <v>31</v>
      </c>
      <c r="AA59" s="348">
        <f t="shared" ca="1" si="5"/>
        <v>7</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Mar</v>
      </c>
      <c r="U60" s="186" t="str">
        <f t="shared" ca="1" si="13"/>
        <v>juillet</v>
      </c>
      <c r="X60" s="347">
        <f t="shared" ca="1" si="17"/>
        <v>46203</v>
      </c>
      <c r="Y60" s="452" t="str">
        <f t="shared" ca="1" si="14"/>
        <v>Mar. juillet , 2026</v>
      </c>
      <c r="Z60" s="143">
        <f t="shared" ca="1" si="4"/>
        <v>31</v>
      </c>
      <c r="AA60" s="348">
        <f t="shared" ca="1" si="5"/>
        <v>7</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Mar</v>
      </c>
      <c r="U61" s="186" t="str">
        <f t="shared" ca="1" si="13"/>
        <v>juillet</v>
      </c>
      <c r="X61" s="347">
        <f t="shared" ca="1" si="17"/>
        <v>46203</v>
      </c>
      <c r="Y61" s="452" t="str">
        <f t="shared" ca="1" si="14"/>
        <v>Mar. juillet , 2026</v>
      </c>
      <c r="Z61" s="143">
        <f t="shared" ca="1" si="4"/>
        <v>31</v>
      </c>
      <c r="AA61" s="348">
        <f t="shared" ca="1" si="5"/>
        <v>7</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Mar</v>
      </c>
      <c r="U62" s="186" t="str">
        <f t="shared" ca="1" si="13"/>
        <v>juillet</v>
      </c>
      <c r="X62" s="347">
        <f t="shared" ca="1" si="17"/>
        <v>46203</v>
      </c>
      <c r="Y62" s="452" t="str">
        <f t="shared" ca="1" si="14"/>
        <v>Mar. juillet , 2026</v>
      </c>
      <c r="Z62" s="143">
        <f t="shared" ca="1" si="4"/>
        <v>31</v>
      </c>
      <c r="AA62" s="348">
        <f t="shared" ca="1" si="5"/>
        <v>7</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Mar</v>
      </c>
      <c r="U63" s="186" t="str">
        <f t="shared" ca="1" si="13"/>
        <v>juillet</v>
      </c>
      <c r="X63" s="347">
        <f t="shared" ca="1" si="17"/>
        <v>46203</v>
      </c>
      <c r="Y63" s="452" t="str">
        <f t="shared" ca="1" si="14"/>
        <v>Mar. juillet , 2026</v>
      </c>
      <c r="Z63" s="143">
        <f t="shared" ca="1" si="4"/>
        <v>31</v>
      </c>
      <c r="AA63" s="348">
        <f t="shared" ca="1" si="5"/>
        <v>7</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Mar</v>
      </c>
      <c r="U64" s="186" t="str">
        <f t="shared" ca="1" si="13"/>
        <v>juillet</v>
      </c>
      <c r="X64" s="347">
        <f t="shared" ca="1" si="17"/>
        <v>46203</v>
      </c>
      <c r="Y64" s="452" t="str">
        <f t="shared" ca="1" si="14"/>
        <v>Mar. juillet , 2026</v>
      </c>
      <c r="Z64" s="143">
        <f t="shared" ca="1" si="4"/>
        <v>31</v>
      </c>
      <c r="AA64" s="348">
        <f t="shared" ca="1" si="5"/>
        <v>7</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Mar</v>
      </c>
      <c r="U65" s="186" t="str">
        <f t="shared" ca="1" si="13"/>
        <v>juillet</v>
      </c>
      <c r="X65" s="347">
        <f t="shared" ca="1" si="17"/>
        <v>46203</v>
      </c>
      <c r="Y65" s="452" t="str">
        <f t="shared" ca="1" si="14"/>
        <v>Mar. juillet , 2026</v>
      </c>
      <c r="Z65" s="143">
        <f t="shared" ca="1" si="4"/>
        <v>31</v>
      </c>
      <c r="AA65" s="348">
        <f t="shared" ca="1" si="5"/>
        <v>7</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Mar</v>
      </c>
      <c r="U66" s="186" t="str">
        <f t="shared" ca="1" si="13"/>
        <v>juillet</v>
      </c>
      <c r="X66" s="347">
        <f t="shared" ca="1" si="17"/>
        <v>46203</v>
      </c>
      <c r="Y66" s="452" t="str">
        <f t="shared" ca="1" si="14"/>
        <v>Mar. juillet , 2026</v>
      </c>
      <c r="Z66" s="143">
        <f t="shared" ca="1" si="4"/>
        <v>31</v>
      </c>
      <c r="AA66" s="348">
        <f t="shared" ca="1" si="5"/>
        <v>7</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Mar</v>
      </c>
      <c r="U67" s="186" t="str">
        <f t="shared" ca="1" si="13"/>
        <v>juillet</v>
      </c>
      <c r="X67" s="347">
        <f t="shared" ca="1" si="17"/>
        <v>46203</v>
      </c>
      <c r="Y67" s="452" t="str">
        <f t="shared" ca="1" si="14"/>
        <v>Mar. juillet , 2026</v>
      </c>
      <c r="Z67" s="143">
        <f t="shared" ca="1" si="4"/>
        <v>31</v>
      </c>
      <c r="AA67" s="348">
        <f t="shared" ca="1" si="5"/>
        <v>7</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Mar</v>
      </c>
      <c r="U68" s="186" t="str">
        <f t="shared" ca="1" si="13"/>
        <v>juillet</v>
      </c>
      <c r="X68" s="347">
        <f t="shared" ca="1" si="17"/>
        <v>46203</v>
      </c>
      <c r="Y68" s="452" t="str">
        <f t="shared" ca="1" si="14"/>
        <v>Mar. juillet , 2026</v>
      </c>
      <c r="Z68" s="143">
        <f t="shared" ca="1" si="4"/>
        <v>31</v>
      </c>
      <c r="AA68" s="348">
        <f t="shared" ca="1" si="5"/>
        <v>7</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Mar</v>
      </c>
      <c r="U69" s="186" t="str">
        <f t="shared" ca="1" si="13"/>
        <v>juillet</v>
      </c>
      <c r="X69" s="347">
        <f t="shared" ca="1" si="17"/>
        <v>46203</v>
      </c>
      <c r="Y69" s="452" t="str">
        <f t="shared" ca="1" si="14"/>
        <v>Mar. juillet , 2026</v>
      </c>
      <c r="Z69" s="143">
        <f t="shared" ca="1" si="4"/>
        <v>31</v>
      </c>
      <c r="AA69" s="348">
        <f t="shared" ca="1" si="5"/>
        <v>7</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Mar</v>
      </c>
      <c r="U70" s="186" t="str">
        <f t="shared" ca="1" si="13"/>
        <v>juillet</v>
      </c>
      <c r="X70" s="347">
        <f t="shared" ca="1" si="17"/>
        <v>46203</v>
      </c>
      <c r="Y70" s="452" t="str">
        <f t="shared" ca="1" si="14"/>
        <v>Mar. juillet , 2026</v>
      </c>
      <c r="Z70" s="143">
        <f t="shared" ca="1" si="4"/>
        <v>31</v>
      </c>
      <c r="AA70" s="348">
        <f t="shared" ca="1" si="5"/>
        <v>7</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Mar</v>
      </c>
      <c r="U71" s="186" t="str">
        <f t="shared" ca="1" si="13"/>
        <v>juillet</v>
      </c>
      <c r="X71" s="347">
        <f t="shared" ca="1" si="17"/>
        <v>46203</v>
      </c>
      <c r="Y71" s="452" t="str">
        <f t="shared" ca="1" si="14"/>
        <v>Mar. juillet , 2026</v>
      </c>
      <c r="Z71" s="143">
        <f t="shared" ca="1" si="4"/>
        <v>31</v>
      </c>
      <c r="AA71" s="348">
        <f t="shared" ca="1" si="5"/>
        <v>7</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Mar</v>
      </c>
      <c r="U72" s="186" t="str">
        <f t="shared" ca="1" si="13"/>
        <v>juillet</v>
      </c>
      <c r="X72" s="347">
        <f t="shared" ca="1" si="17"/>
        <v>46203</v>
      </c>
      <c r="Y72" s="452" t="str">
        <f t="shared" ca="1" si="14"/>
        <v>Mar. juillet , 2026</v>
      </c>
      <c r="Z72" s="143">
        <f t="shared" ca="1" si="4"/>
        <v>31</v>
      </c>
      <c r="AA72" s="348">
        <f t="shared" ca="1" si="5"/>
        <v>7</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Mar</v>
      </c>
      <c r="U73" s="186" t="str">
        <f t="shared" ca="1" si="13"/>
        <v>juillet</v>
      </c>
      <c r="X73" s="347">
        <f t="shared" ca="1" si="17"/>
        <v>46203</v>
      </c>
      <c r="Y73" s="452" t="str">
        <f t="shared" ca="1" si="14"/>
        <v>Mar. juillet , 2026</v>
      </c>
      <c r="Z73" s="143">
        <f t="shared" ca="1" si="4"/>
        <v>31</v>
      </c>
      <c r="AA73" s="348">
        <f t="shared" ca="1" si="5"/>
        <v>7</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Mar</v>
      </c>
      <c r="U74" s="186" t="str">
        <f t="shared" ca="1" si="13"/>
        <v>juillet</v>
      </c>
      <c r="X74" s="347">
        <f t="shared" ca="1" si="17"/>
        <v>46203</v>
      </c>
      <c r="Y74" s="452" t="str">
        <f t="shared" ca="1" si="14"/>
        <v>Mar. juillet , 2026</v>
      </c>
      <c r="Z74" s="143">
        <f t="shared" ca="1" si="4"/>
        <v>31</v>
      </c>
      <c r="AA74" s="348">
        <f t="shared" ca="1" si="5"/>
        <v>7</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Mar</v>
      </c>
      <c r="U75" s="186" t="str">
        <f t="shared" ca="1" si="13"/>
        <v>juillet</v>
      </c>
      <c r="X75" s="347">
        <f t="shared" ca="1" si="17"/>
        <v>46203</v>
      </c>
      <c r="Y75" s="452" t="str">
        <f t="shared" ca="1" si="14"/>
        <v>Mar. juillet , 2026</v>
      </c>
      <c r="Z75" s="143">
        <f t="shared" ca="1" si="4"/>
        <v>31</v>
      </c>
      <c r="AA75" s="348">
        <f t="shared" ca="1" si="5"/>
        <v>7</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Mar</v>
      </c>
      <c r="U76" s="186" t="str">
        <f t="shared" ca="1" si="13"/>
        <v>juillet</v>
      </c>
      <c r="X76" s="347">
        <f t="shared" ca="1" si="17"/>
        <v>46203</v>
      </c>
      <c r="Y76" s="452" t="str">
        <f t="shared" ca="1" si="14"/>
        <v>Mar. juillet , 2026</v>
      </c>
      <c r="Z76" s="143">
        <f t="shared" ca="1" si="4"/>
        <v>31</v>
      </c>
      <c r="AA76" s="348">
        <f t="shared" ca="1" si="5"/>
        <v>7</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Mar</v>
      </c>
      <c r="U77" s="186" t="str">
        <f t="shared" ca="1" si="13"/>
        <v>juillet</v>
      </c>
      <c r="X77" s="347">
        <f t="shared" ca="1" si="17"/>
        <v>46203</v>
      </c>
      <c r="Y77" s="452" t="str">
        <f t="shared" ca="1" si="14"/>
        <v>Mar. juillet , 2026</v>
      </c>
      <c r="Z77" s="143">
        <f t="shared" ca="1" si="4"/>
        <v>31</v>
      </c>
      <c r="AA77" s="348">
        <f t="shared" ca="1" si="5"/>
        <v>7</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Mar</v>
      </c>
      <c r="U78" s="186" t="str">
        <f t="shared" ca="1" si="13"/>
        <v>juillet</v>
      </c>
      <c r="X78" s="347">
        <f t="shared" ca="1" si="17"/>
        <v>46203</v>
      </c>
      <c r="Y78" s="452" t="str">
        <f t="shared" ca="1" si="14"/>
        <v>Mar. juillet , 2026</v>
      </c>
      <c r="Z78" s="143">
        <f t="shared" ca="1" si="4"/>
        <v>31</v>
      </c>
      <c r="AA78" s="348">
        <f t="shared" ca="1" si="5"/>
        <v>7</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Mar</v>
      </c>
      <c r="U79" s="186" t="str">
        <f t="shared" ca="1" si="13"/>
        <v>juillet</v>
      </c>
      <c r="X79" s="347">
        <f t="shared" ca="1" si="17"/>
        <v>46203</v>
      </c>
      <c r="Y79" s="452" t="str">
        <f t="shared" ca="1" si="14"/>
        <v>Mar. juillet , 2026</v>
      </c>
      <c r="Z79" s="143">
        <f t="shared" ca="1" si="4"/>
        <v>31</v>
      </c>
      <c r="AA79" s="348">
        <f t="shared" ca="1" si="5"/>
        <v>7</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Mar</v>
      </c>
      <c r="U80" s="186" t="str">
        <f t="shared" ca="1" si="13"/>
        <v>juillet</v>
      </c>
      <c r="X80" s="347">
        <f t="shared" ca="1" si="17"/>
        <v>46203</v>
      </c>
      <c r="Y80" s="452" t="str">
        <f t="shared" ca="1" si="14"/>
        <v>Mar. juillet , 2026</v>
      </c>
      <c r="Z80" s="143">
        <f t="shared" ca="1" si="4"/>
        <v>31</v>
      </c>
      <c r="AA80" s="348">
        <f t="shared" ca="1" si="5"/>
        <v>7</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Mar</v>
      </c>
      <c r="U81" s="186" t="str">
        <f t="shared" ca="1" si="13"/>
        <v>juillet</v>
      </c>
      <c r="X81" s="347">
        <f t="shared" ca="1" si="17"/>
        <v>46203</v>
      </c>
      <c r="Y81" s="452" t="str">
        <f t="shared" ca="1" si="14"/>
        <v>Mar. juillet , 2026</v>
      </c>
      <c r="Z81" s="143">
        <f t="shared" ca="1" si="4"/>
        <v>31</v>
      </c>
      <c r="AA81" s="348">
        <f t="shared" ca="1" si="5"/>
        <v>7</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Mar</v>
      </c>
      <c r="U82" s="186" t="str">
        <f t="shared" ca="1" si="13"/>
        <v>juillet</v>
      </c>
      <c r="X82" s="347">
        <f t="shared" ca="1" si="17"/>
        <v>46203</v>
      </c>
      <c r="Y82" s="452" t="str">
        <f t="shared" ca="1" si="14"/>
        <v>Mar. juillet , 2026</v>
      </c>
      <c r="Z82" s="143">
        <f t="shared" ca="1" si="4"/>
        <v>31</v>
      </c>
      <c r="AA82" s="348">
        <f t="shared" ca="1" si="5"/>
        <v>7</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Mar</v>
      </c>
      <c r="U83" s="186" t="str">
        <f t="shared" ca="1" si="13"/>
        <v>juillet</v>
      </c>
      <c r="X83" s="347">
        <f t="shared" ca="1" si="17"/>
        <v>46203</v>
      </c>
      <c r="Y83" s="452" t="str">
        <f t="shared" ca="1" si="14"/>
        <v>Mar. juillet , 2026</v>
      </c>
      <c r="Z83" s="143">
        <f t="shared" ca="1" si="4"/>
        <v>31</v>
      </c>
      <c r="AA83" s="348">
        <f t="shared" ca="1" si="5"/>
        <v>7</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Mar</v>
      </c>
      <c r="U84" s="186" t="str">
        <f t="shared" ca="1" si="13"/>
        <v>juillet</v>
      </c>
      <c r="X84" s="347">
        <f t="shared" ca="1" si="17"/>
        <v>46203</v>
      </c>
      <c r="Y84" s="452" t="str">
        <f t="shared" ca="1" si="14"/>
        <v>Mar. juillet , 2026</v>
      </c>
      <c r="Z84" s="143">
        <f t="shared" ref="Z84:Z147" ca="1" si="24">MIN(R84,$AF$5)</f>
        <v>31</v>
      </c>
      <c r="AA84" s="348">
        <f t="shared" ref="AA84:AA147" ca="1" si="25">$AD$6</f>
        <v>7</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Mar</v>
      </c>
      <c r="U85" s="186" t="str">
        <f t="shared" ref="U85:U148" ca="1" si="32">$U$19</f>
        <v>juillet</v>
      </c>
      <c r="X85" s="347">
        <f t="shared" ca="1" si="17"/>
        <v>46203</v>
      </c>
      <c r="Y85" s="452" t="str">
        <f t="shared" ref="Y85:Y148" ca="1" si="33">IF(Y79="f",T85&amp;". "&amp;" "&amp;R85&amp;" "&amp;U85&amp;" "&amp;$AE$7,T85&amp;". "&amp;U85&amp;" "&amp;R85&amp;", "&amp;$AE$7)</f>
        <v>Mar. juillet , 2026</v>
      </c>
      <c r="Z85" s="143">
        <f t="shared" ca="1" si="24"/>
        <v>31</v>
      </c>
      <c r="AA85" s="348">
        <f t="shared" ca="1" si="25"/>
        <v>7</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Mar</v>
      </c>
      <c r="U86" s="186" t="str">
        <f t="shared" ca="1" si="32"/>
        <v>juillet</v>
      </c>
      <c r="X86" s="347">
        <f t="shared" ref="X86:X149" ca="1" si="36">$AE$8+D86</f>
        <v>46203</v>
      </c>
      <c r="Y86" s="452" t="str">
        <f t="shared" ca="1" si="33"/>
        <v>Mar. juillet , 2026</v>
      </c>
      <c r="Z86" s="143">
        <f t="shared" ca="1" si="24"/>
        <v>31</v>
      </c>
      <c r="AA86" s="348">
        <f t="shared" ca="1" si="25"/>
        <v>7</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Mar</v>
      </c>
      <c r="U87" s="186" t="str">
        <f t="shared" ca="1" si="32"/>
        <v>juillet</v>
      </c>
      <c r="X87" s="347">
        <f t="shared" ca="1" si="36"/>
        <v>46203</v>
      </c>
      <c r="Y87" s="452" t="str">
        <f t="shared" ca="1" si="33"/>
        <v>Mar. juillet , 2026</v>
      </c>
      <c r="Z87" s="143">
        <f t="shared" ca="1" si="24"/>
        <v>31</v>
      </c>
      <c r="AA87" s="348">
        <f t="shared" ca="1" si="25"/>
        <v>7</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Mar</v>
      </c>
      <c r="U88" s="186" t="str">
        <f t="shared" ca="1" si="32"/>
        <v>juillet</v>
      </c>
      <c r="X88" s="347">
        <f t="shared" ca="1" si="36"/>
        <v>46203</v>
      </c>
      <c r="Y88" s="452" t="str">
        <f t="shared" ca="1" si="33"/>
        <v>Mar. juillet , 2026</v>
      </c>
      <c r="Z88" s="143">
        <f t="shared" ca="1" si="24"/>
        <v>31</v>
      </c>
      <c r="AA88" s="348">
        <f t="shared" ca="1" si="25"/>
        <v>7</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Mar</v>
      </c>
      <c r="U89" s="186" t="str">
        <f t="shared" ca="1" si="32"/>
        <v>juillet</v>
      </c>
      <c r="X89" s="347">
        <f t="shared" ca="1" si="36"/>
        <v>46203</v>
      </c>
      <c r="Y89" s="452" t="str">
        <f t="shared" ca="1" si="33"/>
        <v>Mar. juillet , 2026</v>
      </c>
      <c r="Z89" s="143">
        <f t="shared" ca="1" si="24"/>
        <v>31</v>
      </c>
      <c r="AA89" s="348">
        <f t="shared" ca="1" si="25"/>
        <v>7</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Mar</v>
      </c>
      <c r="U90" s="186" t="str">
        <f t="shared" ca="1" si="32"/>
        <v>juillet</v>
      </c>
      <c r="X90" s="347">
        <f t="shared" ca="1" si="36"/>
        <v>46203</v>
      </c>
      <c r="Y90" s="452" t="str">
        <f t="shared" ca="1" si="33"/>
        <v>Mar. juillet , 2026</v>
      </c>
      <c r="Z90" s="143">
        <f t="shared" ca="1" si="24"/>
        <v>31</v>
      </c>
      <c r="AA90" s="348">
        <f t="shared" ca="1" si="25"/>
        <v>7</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Mar</v>
      </c>
      <c r="U91" s="186" t="str">
        <f t="shared" ca="1" si="32"/>
        <v>juillet</v>
      </c>
      <c r="X91" s="347">
        <f t="shared" ca="1" si="36"/>
        <v>46203</v>
      </c>
      <c r="Y91" s="452" t="str">
        <f t="shared" ca="1" si="33"/>
        <v>Mar. juillet , 2026</v>
      </c>
      <c r="Z91" s="143">
        <f t="shared" ca="1" si="24"/>
        <v>31</v>
      </c>
      <c r="AA91" s="348">
        <f t="shared" ca="1" si="25"/>
        <v>7</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Mar</v>
      </c>
      <c r="U92" s="186" t="str">
        <f t="shared" ca="1" si="32"/>
        <v>juillet</v>
      </c>
      <c r="X92" s="347">
        <f t="shared" ca="1" si="36"/>
        <v>46203</v>
      </c>
      <c r="Y92" s="452" t="str">
        <f t="shared" ca="1" si="33"/>
        <v>Mar. juillet , 2026</v>
      </c>
      <c r="Z92" s="143">
        <f t="shared" ca="1" si="24"/>
        <v>31</v>
      </c>
      <c r="AA92" s="348">
        <f t="shared" ca="1" si="25"/>
        <v>7</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Mar</v>
      </c>
      <c r="U93" s="186" t="str">
        <f t="shared" ca="1" si="32"/>
        <v>juillet</v>
      </c>
      <c r="X93" s="347">
        <f t="shared" ca="1" si="36"/>
        <v>46203</v>
      </c>
      <c r="Y93" s="452" t="str">
        <f t="shared" ca="1" si="33"/>
        <v>Mar. juillet , 2026</v>
      </c>
      <c r="Z93" s="143">
        <f t="shared" ca="1" si="24"/>
        <v>31</v>
      </c>
      <c r="AA93" s="348">
        <f t="shared" ca="1" si="25"/>
        <v>7</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Mar</v>
      </c>
      <c r="U94" s="186" t="str">
        <f t="shared" ca="1" si="32"/>
        <v>juillet</v>
      </c>
      <c r="X94" s="347">
        <f t="shared" ca="1" si="36"/>
        <v>46203</v>
      </c>
      <c r="Y94" s="452" t="str">
        <f t="shared" ca="1" si="33"/>
        <v>Mar. juillet , 2026</v>
      </c>
      <c r="Z94" s="143">
        <f t="shared" ca="1" si="24"/>
        <v>31</v>
      </c>
      <c r="AA94" s="348">
        <f t="shared" ca="1" si="25"/>
        <v>7</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Mar</v>
      </c>
      <c r="U95" s="186" t="str">
        <f t="shared" ca="1" si="32"/>
        <v>juillet</v>
      </c>
      <c r="X95" s="347">
        <f t="shared" ca="1" si="36"/>
        <v>46203</v>
      </c>
      <c r="Y95" s="452" t="str">
        <f t="shared" ca="1" si="33"/>
        <v>Mar. juillet , 2026</v>
      </c>
      <c r="Z95" s="143">
        <f t="shared" ca="1" si="24"/>
        <v>31</v>
      </c>
      <c r="AA95" s="348">
        <f t="shared" ca="1" si="25"/>
        <v>7</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Mar</v>
      </c>
      <c r="U96" s="186" t="str">
        <f t="shared" ca="1" si="32"/>
        <v>juillet</v>
      </c>
      <c r="X96" s="347">
        <f t="shared" ca="1" si="36"/>
        <v>46203</v>
      </c>
      <c r="Y96" s="452" t="str">
        <f t="shared" ca="1" si="33"/>
        <v>Mar. juillet , 2026</v>
      </c>
      <c r="Z96" s="143">
        <f t="shared" ca="1" si="24"/>
        <v>31</v>
      </c>
      <c r="AA96" s="348">
        <f t="shared" ca="1" si="25"/>
        <v>7</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Mar</v>
      </c>
      <c r="U97" s="186" t="str">
        <f t="shared" ca="1" si="32"/>
        <v>juillet</v>
      </c>
      <c r="X97" s="347">
        <f t="shared" ca="1" si="36"/>
        <v>46203</v>
      </c>
      <c r="Y97" s="452" t="str">
        <f t="shared" ca="1" si="33"/>
        <v>Mar. juillet , 2026</v>
      </c>
      <c r="Z97" s="143">
        <f t="shared" ca="1" si="24"/>
        <v>31</v>
      </c>
      <c r="AA97" s="348">
        <f t="shared" ca="1" si="25"/>
        <v>7</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Mar</v>
      </c>
      <c r="U98" s="186" t="str">
        <f t="shared" ca="1" si="32"/>
        <v>juillet</v>
      </c>
      <c r="X98" s="347">
        <f t="shared" ca="1" si="36"/>
        <v>46203</v>
      </c>
      <c r="Y98" s="452" t="str">
        <f t="shared" ca="1" si="33"/>
        <v>Mar. juillet , 2026</v>
      </c>
      <c r="Z98" s="143">
        <f t="shared" ca="1" si="24"/>
        <v>31</v>
      </c>
      <c r="AA98" s="348">
        <f t="shared" ca="1" si="25"/>
        <v>7</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Mar</v>
      </c>
      <c r="U99" s="186" t="str">
        <f t="shared" ca="1" si="32"/>
        <v>juillet</v>
      </c>
      <c r="X99" s="347">
        <f t="shared" ca="1" si="36"/>
        <v>46203</v>
      </c>
      <c r="Y99" s="452" t="str">
        <f t="shared" ca="1" si="33"/>
        <v>Mar. juillet , 2026</v>
      </c>
      <c r="Z99" s="143">
        <f t="shared" ca="1" si="24"/>
        <v>31</v>
      </c>
      <c r="AA99" s="348">
        <f t="shared" ca="1" si="25"/>
        <v>7</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Mar</v>
      </c>
      <c r="U100" s="186" t="str">
        <f t="shared" ca="1" si="32"/>
        <v>juillet</v>
      </c>
      <c r="X100" s="347">
        <f t="shared" ca="1" si="36"/>
        <v>46203</v>
      </c>
      <c r="Y100" s="452" t="str">
        <f t="shared" ca="1" si="33"/>
        <v>Mar. juillet , 2026</v>
      </c>
      <c r="Z100" s="143">
        <f t="shared" ca="1" si="24"/>
        <v>31</v>
      </c>
      <c r="AA100" s="348">
        <f t="shared" ca="1" si="25"/>
        <v>7</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Mar</v>
      </c>
      <c r="U101" s="186" t="str">
        <f t="shared" ca="1" si="32"/>
        <v>juillet</v>
      </c>
      <c r="X101" s="347">
        <f t="shared" ca="1" si="36"/>
        <v>46203</v>
      </c>
      <c r="Y101" s="452" t="str">
        <f t="shared" ca="1" si="33"/>
        <v>Mar. juillet , 2026</v>
      </c>
      <c r="Z101" s="143">
        <f t="shared" ca="1" si="24"/>
        <v>31</v>
      </c>
      <c r="AA101" s="348">
        <f t="shared" ca="1" si="25"/>
        <v>7</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Mar</v>
      </c>
      <c r="U102" s="186" t="str">
        <f t="shared" ca="1" si="32"/>
        <v>juillet</v>
      </c>
      <c r="X102" s="347">
        <f t="shared" ca="1" si="36"/>
        <v>46203</v>
      </c>
      <c r="Y102" s="452" t="str">
        <f t="shared" ca="1" si="33"/>
        <v>Mar. juillet , 2026</v>
      </c>
      <c r="Z102" s="143">
        <f t="shared" ca="1" si="24"/>
        <v>31</v>
      </c>
      <c r="AA102" s="348">
        <f t="shared" ca="1" si="25"/>
        <v>7</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Mar</v>
      </c>
      <c r="U103" s="186" t="str">
        <f t="shared" ca="1" si="32"/>
        <v>juillet</v>
      </c>
      <c r="X103" s="347">
        <f t="shared" ca="1" si="36"/>
        <v>46203</v>
      </c>
      <c r="Y103" s="452" t="str">
        <f t="shared" ca="1" si="33"/>
        <v>Mar. juillet , 2026</v>
      </c>
      <c r="Z103" s="143">
        <f t="shared" ca="1" si="24"/>
        <v>31</v>
      </c>
      <c r="AA103" s="348">
        <f t="shared" ca="1" si="25"/>
        <v>7</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Mar</v>
      </c>
      <c r="U104" s="186" t="str">
        <f t="shared" ca="1" si="32"/>
        <v>juillet</v>
      </c>
      <c r="X104" s="347">
        <f t="shared" ca="1" si="36"/>
        <v>46203</v>
      </c>
      <c r="Y104" s="452" t="str">
        <f t="shared" ca="1" si="33"/>
        <v>Mar. juillet , 2026</v>
      </c>
      <c r="Z104" s="143">
        <f t="shared" ca="1" si="24"/>
        <v>31</v>
      </c>
      <c r="AA104" s="348">
        <f t="shared" ca="1" si="25"/>
        <v>7</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Mar</v>
      </c>
      <c r="U105" s="186" t="str">
        <f t="shared" ca="1" si="32"/>
        <v>juillet</v>
      </c>
      <c r="X105" s="347">
        <f t="shared" ca="1" si="36"/>
        <v>46203</v>
      </c>
      <c r="Y105" s="452" t="str">
        <f t="shared" ca="1" si="33"/>
        <v>Mar. juillet , 2026</v>
      </c>
      <c r="Z105" s="143">
        <f t="shared" ca="1" si="24"/>
        <v>31</v>
      </c>
      <c r="AA105" s="348">
        <f t="shared" ca="1" si="25"/>
        <v>7</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Mar</v>
      </c>
      <c r="U106" s="186" t="str">
        <f t="shared" ca="1" si="32"/>
        <v>juillet</v>
      </c>
      <c r="X106" s="347">
        <f t="shared" ca="1" si="36"/>
        <v>46203</v>
      </c>
      <c r="Y106" s="452" t="str">
        <f t="shared" ca="1" si="33"/>
        <v>Mar. juillet , 2026</v>
      </c>
      <c r="Z106" s="143">
        <f t="shared" ca="1" si="24"/>
        <v>31</v>
      </c>
      <c r="AA106" s="348">
        <f t="shared" ca="1" si="25"/>
        <v>7</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Mar</v>
      </c>
      <c r="U107" s="186" t="str">
        <f t="shared" ca="1" si="32"/>
        <v>juillet</v>
      </c>
      <c r="X107" s="347">
        <f t="shared" ca="1" si="36"/>
        <v>46203</v>
      </c>
      <c r="Y107" s="452" t="str">
        <f t="shared" ca="1" si="33"/>
        <v>Mar. juillet , 2026</v>
      </c>
      <c r="Z107" s="143">
        <f t="shared" ca="1" si="24"/>
        <v>31</v>
      </c>
      <c r="AA107" s="348">
        <f t="shared" ca="1" si="25"/>
        <v>7</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Mar</v>
      </c>
      <c r="U108" s="186" t="str">
        <f t="shared" ca="1" si="32"/>
        <v>juillet</v>
      </c>
      <c r="X108" s="347">
        <f t="shared" ca="1" si="36"/>
        <v>46203</v>
      </c>
      <c r="Y108" s="452" t="str">
        <f t="shared" ca="1" si="33"/>
        <v>Mar. juillet , 2026</v>
      </c>
      <c r="Z108" s="143">
        <f t="shared" ca="1" si="24"/>
        <v>31</v>
      </c>
      <c r="AA108" s="348">
        <f t="shared" ca="1" si="25"/>
        <v>7</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Mar</v>
      </c>
      <c r="U109" s="186" t="str">
        <f t="shared" ca="1" si="32"/>
        <v>juillet</v>
      </c>
      <c r="X109" s="347">
        <f t="shared" ca="1" si="36"/>
        <v>46203</v>
      </c>
      <c r="Y109" s="452" t="str">
        <f t="shared" ca="1" si="33"/>
        <v>Mar. juillet , 2026</v>
      </c>
      <c r="Z109" s="143">
        <f t="shared" ca="1" si="24"/>
        <v>31</v>
      </c>
      <c r="AA109" s="348">
        <f t="shared" ca="1" si="25"/>
        <v>7</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Mar</v>
      </c>
      <c r="U110" s="186" t="str">
        <f t="shared" ca="1" si="32"/>
        <v>juillet</v>
      </c>
      <c r="X110" s="347">
        <f t="shared" ca="1" si="36"/>
        <v>46203</v>
      </c>
      <c r="Y110" s="452" t="str">
        <f t="shared" ca="1" si="33"/>
        <v>Mar. juillet , 2026</v>
      </c>
      <c r="Z110" s="143">
        <f t="shared" ca="1" si="24"/>
        <v>31</v>
      </c>
      <c r="AA110" s="348">
        <f t="shared" ca="1" si="25"/>
        <v>7</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Mar</v>
      </c>
      <c r="U111" s="186" t="str">
        <f t="shared" ca="1" si="32"/>
        <v>juillet</v>
      </c>
      <c r="X111" s="347">
        <f t="shared" ca="1" si="36"/>
        <v>46203</v>
      </c>
      <c r="Y111" s="452" t="str">
        <f t="shared" ca="1" si="33"/>
        <v>Mar. juillet , 2026</v>
      </c>
      <c r="Z111" s="143">
        <f t="shared" ca="1" si="24"/>
        <v>31</v>
      </c>
      <c r="AA111" s="348">
        <f t="shared" ca="1" si="25"/>
        <v>7</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Mar</v>
      </c>
      <c r="U112" s="186" t="str">
        <f t="shared" ca="1" si="32"/>
        <v>juillet</v>
      </c>
      <c r="X112" s="347">
        <f t="shared" ca="1" si="36"/>
        <v>46203</v>
      </c>
      <c r="Y112" s="452" t="str">
        <f t="shared" ca="1" si="33"/>
        <v>Mar. juillet , 2026</v>
      </c>
      <c r="Z112" s="143">
        <f t="shared" ca="1" si="24"/>
        <v>31</v>
      </c>
      <c r="AA112" s="348">
        <f t="shared" ca="1" si="25"/>
        <v>7</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Mar</v>
      </c>
      <c r="U113" s="186" t="str">
        <f t="shared" ca="1" si="32"/>
        <v>juillet</v>
      </c>
      <c r="X113" s="347">
        <f t="shared" ca="1" si="36"/>
        <v>46203</v>
      </c>
      <c r="Y113" s="452" t="str">
        <f t="shared" ca="1" si="33"/>
        <v>Mar. juillet , 2026</v>
      </c>
      <c r="Z113" s="143">
        <f t="shared" ca="1" si="24"/>
        <v>31</v>
      </c>
      <c r="AA113" s="348">
        <f t="shared" ca="1" si="25"/>
        <v>7</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Mar</v>
      </c>
      <c r="U114" s="186" t="str">
        <f t="shared" ca="1" si="32"/>
        <v>juillet</v>
      </c>
      <c r="X114" s="347">
        <f t="shared" ca="1" si="36"/>
        <v>46203</v>
      </c>
      <c r="Y114" s="452" t="str">
        <f t="shared" ca="1" si="33"/>
        <v>Mar. juillet , 2026</v>
      </c>
      <c r="Z114" s="143">
        <f t="shared" ca="1" si="24"/>
        <v>31</v>
      </c>
      <c r="AA114" s="348">
        <f t="shared" ca="1" si="25"/>
        <v>7</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Mar</v>
      </c>
      <c r="U115" s="186" t="str">
        <f t="shared" ca="1" si="32"/>
        <v>juillet</v>
      </c>
      <c r="X115" s="347">
        <f t="shared" ca="1" si="36"/>
        <v>46203</v>
      </c>
      <c r="Y115" s="452" t="str">
        <f t="shared" ca="1" si="33"/>
        <v>Mar. juillet , 2026</v>
      </c>
      <c r="Z115" s="143">
        <f t="shared" ca="1" si="24"/>
        <v>31</v>
      </c>
      <c r="AA115" s="348">
        <f t="shared" ca="1" si="25"/>
        <v>7</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Mar</v>
      </c>
      <c r="U116" s="186" t="str">
        <f t="shared" ca="1" si="32"/>
        <v>juillet</v>
      </c>
      <c r="X116" s="347">
        <f t="shared" ca="1" si="36"/>
        <v>46203</v>
      </c>
      <c r="Y116" s="452" t="str">
        <f t="shared" ca="1" si="33"/>
        <v>Mar. juillet , 2026</v>
      </c>
      <c r="Z116" s="143">
        <f t="shared" ca="1" si="24"/>
        <v>31</v>
      </c>
      <c r="AA116" s="348">
        <f t="shared" ca="1" si="25"/>
        <v>7</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Mar</v>
      </c>
      <c r="U117" s="186" t="str">
        <f t="shared" ca="1" si="32"/>
        <v>juillet</v>
      </c>
      <c r="X117" s="347">
        <f t="shared" ca="1" si="36"/>
        <v>46203</v>
      </c>
      <c r="Y117" s="452" t="str">
        <f t="shared" ca="1" si="33"/>
        <v>Mar. juillet , 2026</v>
      </c>
      <c r="Z117" s="143">
        <f t="shared" ca="1" si="24"/>
        <v>31</v>
      </c>
      <c r="AA117" s="348">
        <f t="shared" ca="1" si="25"/>
        <v>7</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Mar</v>
      </c>
      <c r="U118" s="186" t="str">
        <f t="shared" ca="1" si="32"/>
        <v>juillet</v>
      </c>
      <c r="X118" s="347">
        <f t="shared" ca="1" si="36"/>
        <v>46203</v>
      </c>
      <c r="Y118" s="452" t="str">
        <f t="shared" ca="1" si="33"/>
        <v>Mar. juillet , 2026</v>
      </c>
      <c r="Z118" s="143">
        <f t="shared" ca="1" si="24"/>
        <v>31</v>
      </c>
      <c r="AA118" s="348">
        <f t="shared" ca="1" si="25"/>
        <v>7</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Mar</v>
      </c>
      <c r="U119" s="186" t="str">
        <f t="shared" ca="1" si="32"/>
        <v>juillet</v>
      </c>
      <c r="X119" s="347">
        <f t="shared" ca="1" si="36"/>
        <v>46203</v>
      </c>
      <c r="Y119" s="452" t="str">
        <f t="shared" ca="1" si="33"/>
        <v>Mar. juillet , 2026</v>
      </c>
      <c r="Z119" s="143">
        <f t="shared" ca="1" si="24"/>
        <v>31</v>
      </c>
      <c r="AA119" s="348">
        <f t="shared" ca="1" si="25"/>
        <v>7</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Mar</v>
      </c>
      <c r="U120" s="186" t="str">
        <f t="shared" ca="1" si="32"/>
        <v>juillet</v>
      </c>
      <c r="X120" s="347">
        <f t="shared" ca="1" si="36"/>
        <v>46203</v>
      </c>
      <c r="Y120" s="452" t="str">
        <f t="shared" ca="1" si="33"/>
        <v>Mar. juillet , 2026</v>
      </c>
      <c r="Z120" s="143">
        <f t="shared" ca="1" si="24"/>
        <v>31</v>
      </c>
      <c r="AA120" s="348">
        <f t="shared" ca="1" si="25"/>
        <v>7</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Mar</v>
      </c>
      <c r="U121" s="186" t="str">
        <f t="shared" ca="1" si="32"/>
        <v>juillet</v>
      </c>
      <c r="X121" s="347">
        <f t="shared" ca="1" si="36"/>
        <v>46203</v>
      </c>
      <c r="Y121" s="452" t="str">
        <f t="shared" ca="1" si="33"/>
        <v>Mar. juillet , 2026</v>
      </c>
      <c r="Z121" s="143">
        <f t="shared" ca="1" si="24"/>
        <v>31</v>
      </c>
      <c r="AA121" s="348">
        <f t="shared" ca="1" si="25"/>
        <v>7</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Mar</v>
      </c>
      <c r="U122" s="186" t="str">
        <f t="shared" ca="1" si="32"/>
        <v>juillet</v>
      </c>
      <c r="X122" s="347">
        <f t="shared" ca="1" si="36"/>
        <v>46203</v>
      </c>
      <c r="Y122" s="452" t="str">
        <f t="shared" ca="1" si="33"/>
        <v>Mar. juillet , 2026</v>
      </c>
      <c r="Z122" s="143">
        <f t="shared" ca="1" si="24"/>
        <v>31</v>
      </c>
      <c r="AA122" s="348">
        <f t="shared" ca="1" si="25"/>
        <v>7</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Mar</v>
      </c>
      <c r="U123" s="186" t="str">
        <f t="shared" ca="1" si="32"/>
        <v>juillet</v>
      </c>
      <c r="X123" s="347">
        <f t="shared" ca="1" si="36"/>
        <v>46203</v>
      </c>
      <c r="Y123" s="452" t="str">
        <f t="shared" ca="1" si="33"/>
        <v>Mar. juillet , 2026</v>
      </c>
      <c r="Z123" s="143">
        <f t="shared" ca="1" si="24"/>
        <v>31</v>
      </c>
      <c r="AA123" s="348">
        <f t="shared" ca="1" si="25"/>
        <v>7</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Mar</v>
      </c>
      <c r="U124" s="186" t="str">
        <f t="shared" ca="1" si="32"/>
        <v>juillet</v>
      </c>
      <c r="X124" s="347">
        <f t="shared" ca="1" si="36"/>
        <v>46203</v>
      </c>
      <c r="Y124" s="452" t="str">
        <f t="shared" ca="1" si="33"/>
        <v>Mar. juillet , 2026</v>
      </c>
      <c r="Z124" s="143">
        <f t="shared" ca="1" si="24"/>
        <v>31</v>
      </c>
      <c r="AA124" s="348">
        <f t="shared" ca="1" si="25"/>
        <v>7</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Mar</v>
      </c>
      <c r="U125" s="186" t="str">
        <f t="shared" ca="1" si="32"/>
        <v>juillet</v>
      </c>
      <c r="X125" s="347">
        <f t="shared" ca="1" si="36"/>
        <v>46203</v>
      </c>
      <c r="Y125" s="452" t="str">
        <f t="shared" ca="1" si="33"/>
        <v>Mar. juillet , 2026</v>
      </c>
      <c r="Z125" s="143">
        <f t="shared" ca="1" si="24"/>
        <v>31</v>
      </c>
      <c r="AA125" s="348">
        <f t="shared" ca="1" si="25"/>
        <v>7</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Mar</v>
      </c>
      <c r="U126" s="186" t="str">
        <f t="shared" ca="1" si="32"/>
        <v>juillet</v>
      </c>
      <c r="X126" s="347">
        <f t="shared" ca="1" si="36"/>
        <v>46203</v>
      </c>
      <c r="Y126" s="452" t="str">
        <f t="shared" ca="1" si="33"/>
        <v>Mar. juillet , 2026</v>
      </c>
      <c r="Z126" s="143">
        <f t="shared" ca="1" si="24"/>
        <v>31</v>
      </c>
      <c r="AA126" s="348">
        <f t="shared" ca="1" si="25"/>
        <v>7</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Mar</v>
      </c>
      <c r="U127" s="186" t="str">
        <f t="shared" ca="1" si="32"/>
        <v>juillet</v>
      </c>
      <c r="X127" s="347">
        <f t="shared" ca="1" si="36"/>
        <v>46203</v>
      </c>
      <c r="Y127" s="452" t="str">
        <f t="shared" ca="1" si="33"/>
        <v>Mar. juillet , 2026</v>
      </c>
      <c r="Z127" s="143">
        <f t="shared" ca="1" si="24"/>
        <v>31</v>
      </c>
      <c r="AA127" s="348">
        <f t="shared" ca="1" si="25"/>
        <v>7</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Mar</v>
      </c>
      <c r="U128" s="186" t="str">
        <f t="shared" ca="1" si="32"/>
        <v>juillet</v>
      </c>
      <c r="X128" s="347">
        <f t="shared" ca="1" si="36"/>
        <v>46203</v>
      </c>
      <c r="Y128" s="452" t="str">
        <f t="shared" ca="1" si="33"/>
        <v>Mar. juillet , 2026</v>
      </c>
      <c r="Z128" s="143">
        <f t="shared" ca="1" si="24"/>
        <v>31</v>
      </c>
      <c r="AA128" s="348">
        <f t="shared" ca="1" si="25"/>
        <v>7</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Mar</v>
      </c>
      <c r="U129" s="186" t="str">
        <f t="shared" ca="1" si="32"/>
        <v>juillet</v>
      </c>
      <c r="X129" s="347">
        <f t="shared" ca="1" si="36"/>
        <v>46203</v>
      </c>
      <c r="Y129" s="452" t="str">
        <f t="shared" ca="1" si="33"/>
        <v>Mar. juillet , 2026</v>
      </c>
      <c r="Z129" s="143">
        <f t="shared" ca="1" si="24"/>
        <v>31</v>
      </c>
      <c r="AA129" s="348">
        <f t="shared" ca="1" si="25"/>
        <v>7</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Mar</v>
      </c>
      <c r="U130" s="186" t="str">
        <f t="shared" ca="1" si="32"/>
        <v>juillet</v>
      </c>
      <c r="X130" s="347">
        <f t="shared" ca="1" si="36"/>
        <v>46203</v>
      </c>
      <c r="Y130" s="452" t="str">
        <f t="shared" ca="1" si="33"/>
        <v>Mar. juillet , 2026</v>
      </c>
      <c r="Z130" s="143">
        <f t="shared" ca="1" si="24"/>
        <v>31</v>
      </c>
      <c r="AA130" s="348">
        <f t="shared" ca="1" si="25"/>
        <v>7</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Mar</v>
      </c>
      <c r="U131" s="186" t="str">
        <f t="shared" ca="1" si="32"/>
        <v>juillet</v>
      </c>
      <c r="X131" s="347">
        <f t="shared" ca="1" si="36"/>
        <v>46203</v>
      </c>
      <c r="Y131" s="452" t="str">
        <f t="shared" ca="1" si="33"/>
        <v>Mar. juillet , 2026</v>
      </c>
      <c r="Z131" s="143">
        <f t="shared" ca="1" si="24"/>
        <v>31</v>
      </c>
      <c r="AA131" s="348">
        <f t="shared" ca="1" si="25"/>
        <v>7</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Mar</v>
      </c>
      <c r="U132" s="186" t="str">
        <f t="shared" ca="1" si="32"/>
        <v>juillet</v>
      </c>
      <c r="X132" s="347">
        <f t="shared" ca="1" si="36"/>
        <v>46203</v>
      </c>
      <c r="Y132" s="452" t="str">
        <f t="shared" ca="1" si="33"/>
        <v>Mar. juillet , 2026</v>
      </c>
      <c r="Z132" s="143">
        <f t="shared" ca="1" si="24"/>
        <v>31</v>
      </c>
      <c r="AA132" s="348">
        <f t="shared" ca="1" si="25"/>
        <v>7</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Mar</v>
      </c>
      <c r="U133" s="186" t="str">
        <f t="shared" ca="1" si="32"/>
        <v>juillet</v>
      </c>
      <c r="X133" s="347">
        <f t="shared" ca="1" si="36"/>
        <v>46203</v>
      </c>
      <c r="Y133" s="452" t="str">
        <f t="shared" ca="1" si="33"/>
        <v>Mar. juillet , 2026</v>
      </c>
      <c r="Z133" s="143">
        <f t="shared" ca="1" si="24"/>
        <v>31</v>
      </c>
      <c r="AA133" s="348">
        <f t="shared" ca="1" si="25"/>
        <v>7</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Mar</v>
      </c>
      <c r="U134" s="186" t="str">
        <f t="shared" ca="1" si="32"/>
        <v>juillet</v>
      </c>
      <c r="X134" s="347">
        <f t="shared" ca="1" si="36"/>
        <v>46203</v>
      </c>
      <c r="Y134" s="452" t="str">
        <f t="shared" ca="1" si="33"/>
        <v>Mar. juillet , 2026</v>
      </c>
      <c r="Z134" s="143">
        <f t="shared" ca="1" si="24"/>
        <v>31</v>
      </c>
      <c r="AA134" s="348">
        <f t="shared" ca="1" si="25"/>
        <v>7</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Mar</v>
      </c>
      <c r="U135" s="186" t="str">
        <f t="shared" ca="1" si="32"/>
        <v>juillet</v>
      </c>
      <c r="X135" s="347">
        <f t="shared" ca="1" si="36"/>
        <v>46203</v>
      </c>
      <c r="Y135" s="452" t="str">
        <f t="shared" ca="1" si="33"/>
        <v>Mar. juillet , 2026</v>
      </c>
      <c r="Z135" s="143">
        <f t="shared" ca="1" si="24"/>
        <v>31</v>
      </c>
      <c r="AA135" s="348">
        <f t="shared" ca="1" si="25"/>
        <v>7</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Mar</v>
      </c>
      <c r="U136" s="186" t="str">
        <f t="shared" ca="1" si="32"/>
        <v>juillet</v>
      </c>
      <c r="X136" s="347">
        <f t="shared" ca="1" si="36"/>
        <v>46203</v>
      </c>
      <c r="Y136" s="452" t="str">
        <f t="shared" ca="1" si="33"/>
        <v>Mar. juillet , 2026</v>
      </c>
      <c r="Z136" s="143">
        <f t="shared" ca="1" si="24"/>
        <v>31</v>
      </c>
      <c r="AA136" s="348">
        <f t="shared" ca="1" si="25"/>
        <v>7</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Mar</v>
      </c>
      <c r="U137" s="186" t="str">
        <f t="shared" ca="1" si="32"/>
        <v>juillet</v>
      </c>
      <c r="X137" s="347">
        <f t="shared" ca="1" si="36"/>
        <v>46203</v>
      </c>
      <c r="Y137" s="452" t="str">
        <f t="shared" ca="1" si="33"/>
        <v>Mar. juillet , 2026</v>
      </c>
      <c r="Z137" s="143">
        <f t="shared" ca="1" si="24"/>
        <v>31</v>
      </c>
      <c r="AA137" s="348">
        <f t="shared" ca="1" si="25"/>
        <v>7</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Mar</v>
      </c>
      <c r="U138" s="186" t="str">
        <f t="shared" ca="1" si="32"/>
        <v>juillet</v>
      </c>
      <c r="X138" s="347">
        <f t="shared" ca="1" si="36"/>
        <v>46203</v>
      </c>
      <c r="Y138" s="452" t="str">
        <f t="shared" ca="1" si="33"/>
        <v>Mar. juillet , 2026</v>
      </c>
      <c r="Z138" s="143">
        <f t="shared" ca="1" si="24"/>
        <v>31</v>
      </c>
      <c r="AA138" s="348">
        <f t="shared" ca="1" si="25"/>
        <v>7</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Mar</v>
      </c>
      <c r="U139" s="186" t="str">
        <f t="shared" ca="1" si="32"/>
        <v>juillet</v>
      </c>
      <c r="X139" s="347">
        <f t="shared" ca="1" si="36"/>
        <v>46203</v>
      </c>
      <c r="Y139" s="452" t="str">
        <f t="shared" ca="1" si="33"/>
        <v>Mar. juillet , 2026</v>
      </c>
      <c r="Z139" s="143">
        <f t="shared" ca="1" si="24"/>
        <v>31</v>
      </c>
      <c r="AA139" s="348">
        <f t="shared" ca="1" si="25"/>
        <v>7</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Mar</v>
      </c>
      <c r="U140" s="186" t="str">
        <f t="shared" ca="1" si="32"/>
        <v>juillet</v>
      </c>
      <c r="X140" s="347">
        <f t="shared" ca="1" si="36"/>
        <v>46203</v>
      </c>
      <c r="Y140" s="452" t="str">
        <f t="shared" ca="1" si="33"/>
        <v>Mar. juillet , 2026</v>
      </c>
      <c r="Z140" s="143">
        <f t="shared" ca="1" si="24"/>
        <v>31</v>
      </c>
      <c r="AA140" s="348">
        <f t="shared" ca="1" si="25"/>
        <v>7</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Mar</v>
      </c>
      <c r="U141" s="186" t="str">
        <f t="shared" ca="1" si="32"/>
        <v>juillet</v>
      </c>
      <c r="X141" s="347">
        <f t="shared" ca="1" si="36"/>
        <v>46203</v>
      </c>
      <c r="Y141" s="452" t="str">
        <f t="shared" ca="1" si="33"/>
        <v>Mar. juillet , 2026</v>
      </c>
      <c r="Z141" s="143">
        <f t="shared" ca="1" si="24"/>
        <v>31</v>
      </c>
      <c r="AA141" s="348">
        <f t="shared" ca="1" si="25"/>
        <v>7</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Mar</v>
      </c>
      <c r="U142" s="186" t="str">
        <f t="shared" ca="1" si="32"/>
        <v>juillet</v>
      </c>
      <c r="X142" s="347">
        <f t="shared" ca="1" si="36"/>
        <v>46203</v>
      </c>
      <c r="Y142" s="452" t="str">
        <f t="shared" ca="1" si="33"/>
        <v>Mar. juillet , 2026</v>
      </c>
      <c r="Z142" s="143">
        <f t="shared" ca="1" si="24"/>
        <v>31</v>
      </c>
      <c r="AA142" s="348">
        <f t="shared" ca="1" si="25"/>
        <v>7</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Mar</v>
      </c>
      <c r="U143" s="186" t="str">
        <f t="shared" ca="1" si="32"/>
        <v>juillet</v>
      </c>
      <c r="X143" s="347">
        <f t="shared" ca="1" si="36"/>
        <v>46203</v>
      </c>
      <c r="Y143" s="452" t="str">
        <f t="shared" ca="1" si="33"/>
        <v>Mar. juillet , 2026</v>
      </c>
      <c r="Z143" s="143">
        <f t="shared" ca="1" si="24"/>
        <v>31</v>
      </c>
      <c r="AA143" s="348">
        <f t="shared" ca="1" si="25"/>
        <v>7</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Mar</v>
      </c>
      <c r="U144" s="186" t="str">
        <f t="shared" ca="1" si="32"/>
        <v>juillet</v>
      </c>
      <c r="X144" s="347">
        <f t="shared" ca="1" si="36"/>
        <v>46203</v>
      </c>
      <c r="Y144" s="452" t="str">
        <f t="shared" ca="1" si="33"/>
        <v>Mar. juillet , 2026</v>
      </c>
      <c r="Z144" s="143">
        <f t="shared" ca="1" si="24"/>
        <v>31</v>
      </c>
      <c r="AA144" s="348">
        <f t="shared" ca="1" si="25"/>
        <v>7</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Mar</v>
      </c>
      <c r="U145" s="186" t="str">
        <f t="shared" ca="1" si="32"/>
        <v>juillet</v>
      </c>
      <c r="X145" s="347">
        <f t="shared" ca="1" si="36"/>
        <v>46203</v>
      </c>
      <c r="Y145" s="452" t="str">
        <f t="shared" ca="1" si="33"/>
        <v>Mar. juillet , 2026</v>
      </c>
      <c r="Z145" s="143">
        <f t="shared" ca="1" si="24"/>
        <v>31</v>
      </c>
      <c r="AA145" s="348">
        <f t="shared" ca="1" si="25"/>
        <v>7</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Mar</v>
      </c>
      <c r="U146" s="186" t="str">
        <f t="shared" ca="1" si="32"/>
        <v>juillet</v>
      </c>
      <c r="X146" s="347">
        <f t="shared" ca="1" si="36"/>
        <v>46203</v>
      </c>
      <c r="Y146" s="452" t="str">
        <f t="shared" ca="1" si="33"/>
        <v>Mar. juillet , 2026</v>
      </c>
      <c r="Z146" s="143">
        <f t="shared" ca="1" si="24"/>
        <v>31</v>
      </c>
      <c r="AA146" s="348">
        <f t="shared" ca="1" si="25"/>
        <v>7</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Mar</v>
      </c>
      <c r="U147" s="186" t="str">
        <f t="shared" ca="1" si="32"/>
        <v>juillet</v>
      </c>
      <c r="X147" s="347">
        <f t="shared" ca="1" si="36"/>
        <v>46203</v>
      </c>
      <c r="Y147" s="452" t="str">
        <f t="shared" ca="1" si="33"/>
        <v>Mar. juillet , 2026</v>
      </c>
      <c r="Z147" s="143">
        <f t="shared" ca="1" si="24"/>
        <v>31</v>
      </c>
      <c r="AA147" s="348">
        <f t="shared" ca="1" si="25"/>
        <v>7</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Mar</v>
      </c>
      <c r="U148" s="186" t="str">
        <f t="shared" ca="1" si="32"/>
        <v>juillet</v>
      </c>
      <c r="X148" s="347">
        <f t="shared" ca="1" si="36"/>
        <v>46203</v>
      </c>
      <c r="Y148" s="452" t="str">
        <f t="shared" ca="1" si="33"/>
        <v>Mar. juillet , 2026</v>
      </c>
      <c r="Z148" s="143">
        <f t="shared" ref="Z148:Z194" ca="1" si="43">MIN(R148,$AF$5)</f>
        <v>31</v>
      </c>
      <c r="AA148" s="348">
        <f t="shared" ref="AA148:AA194" ca="1" si="44">$AD$6</f>
        <v>7</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Mar</v>
      </c>
      <c r="U149" s="186" t="str">
        <f t="shared" ref="U149:U194" ca="1" si="51">$U$19</f>
        <v>juillet</v>
      </c>
      <c r="X149" s="347">
        <f t="shared" ca="1" si="36"/>
        <v>46203</v>
      </c>
      <c r="Y149" s="452" t="str">
        <f t="shared" ref="Y149:Y194" ca="1" si="52">IF(Y143="f",T149&amp;". "&amp;" "&amp;R149&amp;" "&amp;U149&amp;" "&amp;$AE$7,T149&amp;". "&amp;U149&amp;" "&amp;R149&amp;", "&amp;$AE$7)</f>
        <v>Mar. juillet , 2026</v>
      </c>
      <c r="Z149" s="143">
        <f t="shared" ca="1" si="43"/>
        <v>31</v>
      </c>
      <c r="AA149" s="348">
        <f t="shared" ca="1" si="44"/>
        <v>7</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Mar</v>
      </c>
      <c r="U150" s="186" t="str">
        <f t="shared" ca="1" si="51"/>
        <v>juillet</v>
      </c>
      <c r="X150" s="347">
        <f t="shared" ref="X150:X194" ca="1" si="55">$AE$8+D150</f>
        <v>46203</v>
      </c>
      <c r="Y150" s="452" t="str">
        <f t="shared" ca="1" si="52"/>
        <v>Mar. juillet , 2026</v>
      </c>
      <c r="Z150" s="143">
        <f t="shared" ca="1" si="43"/>
        <v>31</v>
      </c>
      <c r="AA150" s="348">
        <f t="shared" ca="1" si="44"/>
        <v>7</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Mar</v>
      </c>
      <c r="U151" s="186" t="str">
        <f t="shared" ca="1" si="51"/>
        <v>juillet</v>
      </c>
      <c r="X151" s="347">
        <f t="shared" ca="1" si="55"/>
        <v>46203</v>
      </c>
      <c r="Y151" s="452" t="str">
        <f t="shared" ca="1" si="52"/>
        <v>Mar. juillet , 2026</v>
      </c>
      <c r="Z151" s="143">
        <f t="shared" ca="1" si="43"/>
        <v>31</v>
      </c>
      <c r="AA151" s="348">
        <f t="shared" ca="1" si="44"/>
        <v>7</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Mar</v>
      </c>
      <c r="U152" s="186" t="str">
        <f t="shared" ca="1" si="51"/>
        <v>juillet</v>
      </c>
      <c r="X152" s="347">
        <f t="shared" ca="1" si="55"/>
        <v>46203</v>
      </c>
      <c r="Y152" s="452" t="str">
        <f t="shared" ca="1" si="52"/>
        <v>Mar. juillet , 2026</v>
      </c>
      <c r="Z152" s="143">
        <f t="shared" ca="1" si="43"/>
        <v>31</v>
      </c>
      <c r="AA152" s="348">
        <f t="shared" ca="1" si="44"/>
        <v>7</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Mar</v>
      </c>
      <c r="U153" s="186" t="str">
        <f t="shared" ca="1" si="51"/>
        <v>juillet</v>
      </c>
      <c r="X153" s="347">
        <f t="shared" ca="1" si="55"/>
        <v>46203</v>
      </c>
      <c r="Y153" s="452" t="str">
        <f t="shared" ca="1" si="52"/>
        <v>Mar. juillet , 2026</v>
      </c>
      <c r="Z153" s="143">
        <f t="shared" ca="1" si="43"/>
        <v>31</v>
      </c>
      <c r="AA153" s="348">
        <f t="shared" ca="1" si="44"/>
        <v>7</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Mar</v>
      </c>
      <c r="U154" s="186" t="str">
        <f t="shared" ca="1" si="51"/>
        <v>juillet</v>
      </c>
      <c r="X154" s="347">
        <f t="shared" ca="1" si="55"/>
        <v>46203</v>
      </c>
      <c r="Y154" s="452" t="str">
        <f t="shared" ca="1" si="52"/>
        <v>Mar. juillet , 2026</v>
      </c>
      <c r="Z154" s="143">
        <f t="shared" ca="1" si="43"/>
        <v>31</v>
      </c>
      <c r="AA154" s="348">
        <f t="shared" ca="1" si="44"/>
        <v>7</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Mar</v>
      </c>
      <c r="U155" s="186" t="str">
        <f t="shared" ca="1" si="51"/>
        <v>juillet</v>
      </c>
      <c r="X155" s="347">
        <f t="shared" ca="1" si="55"/>
        <v>46203</v>
      </c>
      <c r="Y155" s="452" t="str">
        <f t="shared" ca="1" si="52"/>
        <v>Mar. juillet , 2026</v>
      </c>
      <c r="Z155" s="143">
        <f t="shared" ca="1" si="43"/>
        <v>31</v>
      </c>
      <c r="AA155" s="348">
        <f t="shared" ca="1" si="44"/>
        <v>7</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Mar</v>
      </c>
      <c r="U156" s="186" t="str">
        <f t="shared" ca="1" si="51"/>
        <v>juillet</v>
      </c>
      <c r="X156" s="347">
        <f t="shared" ca="1" si="55"/>
        <v>46203</v>
      </c>
      <c r="Y156" s="452" t="str">
        <f t="shared" ca="1" si="52"/>
        <v>Mar. juillet , 2026</v>
      </c>
      <c r="Z156" s="143">
        <f t="shared" ca="1" si="43"/>
        <v>31</v>
      </c>
      <c r="AA156" s="348">
        <f t="shared" ca="1" si="44"/>
        <v>7</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Mar</v>
      </c>
      <c r="U157" s="186" t="str">
        <f t="shared" ca="1" si="51"/>
        <v>juillet</v>
      </c>
      <c r="X157" s="347">
        <f t="shared" ca="1" si="55"/>
        <v>46203</v>
      </c>
      <c r="Y157" s="452" t="str">
        <f t="shared" ca="1" si="52"/>
        <v>Mar. juillet , 2026</v>
      </c>
      <c r="Z157" s="143">
        <f t="shared" ca="1" si="43"/>
        <v>31</v>
      </c>
      <c r="AA157" s="348">
        <f t="shared" ca="1" si="44"/>
        <v>7</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Mar</v>
      </c>
      <c r="U158" s="186" t="str">
        <f t="shared" ca="1" si="51"/>
        <v>juillet</v>
      </c>
      <c r="X158" s="347">
        <f t="shared" ca="1" si="55"/>
        <v>46203</v>
      </c>
      <c r="Y158" s="452" t="str">
        <f t="shared" ca="1" si="52"/>
        <v>Mar. juillet , 2026</v>
      </c>
      <c r="Z158" s="143">
        <f t="shared" ca="1" si="43"/>
        <v>31</v>
      </c>
      <c r="AA158" s="348">
        <f t="shared" ca="1" si="44"/>
        <v>7</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Mar</v>
      </c>
      <c r="U159" s="186" t="str">
        <f t="shared" ca="1" si="51"/>
        <v>juillet</v>
      </c>
      <c r="X159" s="347">
        <f t="shared" ca="1" si="55"/>
        <v>46203</v>
      </c>
      <c r="Y159" s="452" t="str">
        <f t="shared" ca="1" si="52"/>
        <v>Mar. juillet , 2026</v>
      </c>
      <c r="Z159" s="143">
        <f t="shared" ca="1" si="43"/>
        <v>31</v>
      </c>
      <c r="AA159" s="348">
        <f t="shared" ca="1" si="44"/>
        <v>7</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Mar</v>
      </c>
      <c r="U160" s="186" t="str">
        <f t="shared" ca="1" si="51"/>
        <v>juillet</v>
      </c>
      <c r="X160" s="347">
        <f t="shared" ca="1" si="55"/>
        <v>46203</v>
      </c>
      <c r="Y160" s="452" t="str">
        <f t="shared" ca="1" si="52"/>
        <v>Mar. juillet , 2026</v>
      </c>
      <c r="Z160" s="143">
        <f t="shared" ca="1" si="43"/>
        <v>31</v>
      </c>
      <c r="AA160" s="348">
        <f t="shared" ca="1" si="44"/>
        <v>7</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Mar</v>
      </c>
      <c r="U161" s="186" t="str">
        <f t="shared" ca="1" si="51"/>
        <v>juillet</v>
      </c>
      <c r="X161" s="347">
        <f t="shared" ca="1" si="55"/>
        <v>46203</v>
      </c>
      <c r="Y161" s="452" t="str">
        <f t="shared" ca="1" si="52"/>
        <v>Mar. juillet , 2026</v>
      </c>
      <c r="Z161" s="143">
        <f t="shared" ca="1" si="43"/>
        <v>31</v>
      </c>
      <c r="AA161" s="348">
        <f t="shared" ca="1" si="44"/>
        <v>7</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Mar</v>
      </c>
      <c r="U162" s="186" t="str">
        <f t="shared" ca="1" si="51"/>
        <v>juillet</v>
      </c>
      <c r="X162" s="347">
        <f t="shared" ca="1" si="55"/>
        <v>46203</v>
      </c>
      <c r="Y162" s="452" t="str">
        <f t="shared" ca="1" si="52"/>
        <v>Mar. juillet , 2026</v>
      </c>
      <c r="Z162" s="143">
        <f t="shared" ca="1" si="43"/>
        <v>31</v>
      </c>
      <c r="AA162" s="348">
        <f t="shared" ca="1" si="44"/>
        <v>7</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Mar</v>
      </c>
      <c r="U163" s="186" t="str">
        <f t="shared" ca="1" si="51"/>
        <v>juillet</v>
      </c>
      <c r="X163" s="347">
        <f t="shared" ca="1" si="55"/>
        <v>46203</v>
      </c>
      <c r="Y163" s="452" t="str">
        <f t="shared" ca="1" si="52"/>
        <v>Mar. juillet , 2026</v>
      </c>
      <c r="Z163" s="143">
        <f t="shared" ca="1" si="43"/>
        <v>31</v>
      </c>
      <c r="AA163" s="348">
        <f t="shared" ca="1" si="44"/>
        <v>7</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Mar</v>
      </c>
      <c r="U164" s="186" t="str">
        <f t="shared" ca="1" si="51"/>
        <v>juillet</v>
      </c>
      <c r="X164" s="347">
        <f t="shared" ca="1" si="55"/>
        <v>46203</v>
      </c>
      <c r="Y164" s="452" t="str">
        <f t="shared" ca="1" si="52"/>
        <v>Mar. juillet , 2026</v>
      </c>
      <c r="Z164" s="143">
        <f t="shared" ca="1" si="43"/>
        <v>31</v>
      </c>
      <c r="AA164" s="348">
        <f t="shared" ca="1" si="44"/>
        <v>7</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Mar</v>
      </c>
      <c r="U165" s="186" t="str">
        <f t="shared" ca="1" si="51"/>
        <v>juillet</v>
      </c>
      <c r="X165" s="347">
        <f t="shared" ca="1" si="55"/>
        <v>46203</v>
      </c>
      <c r="Y165" s="452" t="str">
        <f t="shared" ca="1" si="52"/>
        <v>Mar. juillet , 2026</v>
      </c>
      <c r="Z165" s="143">
        <f t="shared" ca="1" si="43"/>
        <v>31</v>
      </c>
      <c r="AA165" s="348">
        <f t="shared" ca="1" si="44"/>
        <v>7</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Mar</v>
      </c>
      <c r="U166" s="186" t="str">
        <f t="shared" ca="1" si="51"/>
        <v>juillet</v>
      </c>
      <c r="X166" s="347">
        <f t="shared" ca="1" si="55"/>
        <v>46203</v>
      </c>
      <c r="Y166" s="452" t="str">
        <f t="shared" ca="1" si="52"/>
        <v>Mar. juillet , 2026</v>
      </c>
      <c r="Z166" s="143">
        <f t="shared" ca="1" si="43"/>
        <v>31</v>
      </c>
      <c r="AA166" s="348">
        <f t="shared" ca="1" si="44"/>
        <v>7</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Mar</v>
      </c>
      <c r="U167" s="186" t="str">
        <f t="shared" ca="1" si="51"/>
        <v>juillet</v>
      </c>
      <c r="X167" s="347">
        <f t="shared" ca="1" si="55"/>
        <v>46203</v>
      </c>
      <c r="Y167" s="452" t="str">
        <f t="shared" ca="1" si="52"/>
        <v>Mar. juillet , 2026</v>
      </c>
      <c r="Z167" s="143">
        <f t="shared" ca="1" si="43"/>
        <v>31</v>
      </c>
      <c r="AA167" s="348">
        <f t="shared" ca="1" si="44"/>
        <v>7</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Mar</v>
      </c>
      <c r="U168" s="186" t="str">
        <f t="shared" ca="1" si="51"/>
        <v>juillet</v>
      </c>
      <c r="X168" s="347">
        <f t="shared" ca="1" si="55"/>
        <v>46203</v>
      </c>
      <c r="Y168" s="452" t="str">
        <f t="shared" ca="1" si="52"/>
        <v>Mar. juillet , 2026</v>
      </c>
      <c r="Z168" s="143">
        <f t="shared" ca="1" si="43"/>
        <v>31</v>
      </c>
      <c r="AA168" s="348">
        <f t="shared" ca="1" si="44"/>
        <v>7</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Mar</v>
      </c>
      <c r="U169" s="186" t="str">
        <f t="shared" ca="1" si="51"/>
        <v>juillet</v>
      </c>
      <c r="X169" s="347">
        <f t="shared" ca="1" si="55"/>
        <v>46203</v>
      </c>
      <c r="Y169" s="452" t="str">
        <f t="shared" ca="1" si="52"/>
        <v>Mar. juillet , 2026</v>
      </c>
      <c r="Z169" s="143">
        <f t="shared" ca="1" si="43"/>
        <v>31</v>
      </c>
      <c r="AA169" s="348">
        <f t="shared" ca="1" si="44"/>
        <v>7</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Mar</v>
      </c>
      <c r="U170" s="186" t="str">
        <f t="shared" ca="1" si="51"/>
        <v>juillet</v>
      </c>
      <c r="X170" s="347">
        <f t="shared" ca="1" si="55"/>
        <v>46203</v>
      </c>
      <c r="Y170" s="452" t="str">
        <f t="shared" ca="1" si="52"/>
        <v>Mar. juillet , 2026</v>
      </c>
      <c r="Z170" s="143">
        <f t="shared" ca="1" si="43"/>
        <v>31</v>
      </c>
      <c r="AA170" s="348">
        <f t="shared" ca="1" si="44"/>
        <v>7</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Mar</v>
      </c>
      <c r="U171" s="186" t="str">
        <f t="shared" ca="1" si="51"/>
        <v>juillet</v>
      </c>
      <c r="X171" s="347">
        <f t="shared" ca="1" si="55"/>
        <v>46203</v>
      </c>
      <c r="Y171" s="452" t="str">
        <f t="shared" ca="1" si="52"/>
        <v>Mar. juillet , 2026</v>
      </c>
      <c r="Z171" s="143">
        <f t="shared" ca="1" si="43"/>
        <v>31</v>
      </c>
      <c r="AA171" s="348">
        <f t="shared" ca="1" si="44"/>
        <v>7</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Mar</v>
      </c>
      <c r="U172" s="186" t="str">
        <f t="shared" ca="1" si="51"/>
        <v>juillet</v>
      </c>
      <c r="X172" s="347">
        <f t="shared" ca="1" si="55"/>
        <v>46203</v>
      </c>
      <c r="Y172" s="452" t="str">
        <f t="shared" ca="1" si="52"/>
        <v>Mar. juillet , 2026</v>
      </c>
      <c r="Z172" s="143">
        <f t="shared" ca="1" si="43"/>
        <v>31</v>
      </c>
      <c r="AA172" s="348">
        <f t="shared" ca="1" si="44"/>
        <v>7</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Mar</v>
      </c>
      <c r="U173" s="186" t="str">
        <f t="shared" ca="1" si="51"/>
        <v>juillet</v>
      </c>
      <c r="X173" s="347">
        <f t="shared" ca="1" si="55"/>
        <v>46203</v>
      </c>
      <c r="Y173" s="452" t="str">
        <f t="shared" ca="1" si="52"/>
        <v>Mar. juillet , 2026</v>
      </c>
      <c r="Z173" s="143">
        <f t="shared" ca="1" si="43"/>
        <v>31</v>
      </c>
      <c r="AA173" s="348">
        <f t="shared" ca="1" si="44"/>
        <v>7</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Mar</v>
      </c>
      <c r="U174" s="186" t="str">
        <f t="shared" ca="1" si="51"/>
        <v>juillet</v>
      </c>
      <c r="X174" s="347">
        <f t="shared" ca="1" si="55"/>
        <v>46203</v>
      </c>
      <c r="Y174" s="452" t="str">
        <f t="shared" ca="1" si="52"/>
        <v>Mar. juillet , 2026</v>
      </c>
      <c r="Z174" s="143">
        <f t="shared" ca="1" si="43"/>
        <v>31</v>
      </c>
      <c r="AA174" s="348">
        <f t="shared" ca="1" si="44"/>
        <v>7</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Mar</v>
      </c>
      <c r="U175" s="186" t="str">
        <f t="shared" ca="1" si="51"/>
        <v>juillet</v>
      </c>
      <c r="X175" s="347">
        <f t="shared" ca="1" si="55"/>
        <v>46203</v>
      </c>
      <c r="Y175" s="452" t="str">
        <f t="shared" ca="1" si="52"/>
        <v>Mar. juillet , 2026</v>
      </c>
      <c r="Z175" s="143">
        <f t="shared" ca="1" si="43"/>
        <v>31</v>
      </c>
      <c r="AA175" s="348">
        <f t="shared" ca="1" si="44"/>
        <v>7</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Mar</v>
      </c>
      <c r="U176" s="186" t="str">
        <f t="shared" ca="1" si="51"/>
        <v>juillet</v>
      </c>
      <c r="X176" s="347">
        <f t="shared" ca="1" si="55"/>
        <v>46203</v>
      </c>
      <c r="Y176" s="452" t="str">
        <f t="shared" ca="1" si="52"/>
        <v>Mar. juillet , 2026</v>
      </c>
      <c r="Z176" s="143">
        <f t="shared" ca="1" si="43"/>
        <v>31</v>
      </c>
      <c r="AA176" s="348">
        <f t="shared" ca="1" si="44"/>
        <v>7</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Mar</v>
      </c>
      <c r="U177" s="186" t="str">
        <f t="shared" ca="1" si="51"/>
        <v>juillet</v>
      </c>
      <c r="X177" s="347">
        <f t="shared" ca="1" si="55"/>
        <v>46203</v>
      </c>
      <c r="Y177" s="452" t="str">
        <f t="shared" ca="1" si="52"/>
        <v>Mar. juillet , 2026</v>
      </c>
      <c r="Z177" s="143">
        <f t="shared" ca="1" si="43"/>
        <v>31</v>
      </c>
      <c r="AA177" s="348">
        <f t="shared" ca="1" si="44"/>
        <v>7</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Mar</v>
      </c>
      <c r="U178" s="186" t="str">
        <f t="shared" ca="1" si="51"/>
        <v>juillet</v>
      </c>
      <c r="X178" s="347">
        <f t="shared" ca="1" si="55"/>
        <v>46203</v>
      </c>
      <c r="Y178" s="452" t="str">
        <f t="shared" ca="1" si="52"/>
        <v>Mar. juillet , 2026</v>
      </c>
      <c r="Z178" s="143">
        <f t="shared" ca="1" si="43"/>
        <v>31</v>
      </c>
      <c r="AA178" s="348">
        <f t="shared" ca="1" si="44"/>
        <v>7</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Mar</v>
      </c>
      <c r="U179" s="186" t="str">
        <f t="shared" ca="1" si="51"/>
        <v>juillet</v>
      </c>
      <c r="X179" s="347">
        <f t="shared" ca="1" si="55"/>
        <v>46203</v>
      </c>
      <c r="Y179" s="452" t="str">
        <f t="shared" ca="1" si="52"/>
        <v>Mar. juillet , 2026</v>
      </c>
      <c r="Z179" s="143">
        <f t="shared" ca="1" si="43"/>
        <v>31</v>
      </c>
      <c r="AA179" s="348">
        <f t="shared" ca="1" si="44"/>
        <v>7</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Mar</v>
      </c>
      <c r="U180" s="186" t="str">
        <f t="shared" ca="1" si="51"/>
        <v>juillet</v>
      </c>
      <c r="X180" s="347">
        <f t="shared" ca="1" si="55"/>
        <v>46203</v>
      </c>
      <c r="Y180" s="452" t="str">
        <f t="shared" ca="1" si="52"/>
        <v>Mar. juillet , 2026</v>
      </c>
      <c r="Z180" s="143">
        <f t="shared" ca="1" si="43"/>
        <v>31</v>
      </c>
      <c r="AA180" s="348">
        <f t="shared" ca="1" si="44"/>
        <v>7</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Mar</v>
      </c>
      <c r="U181" s="186" t="str">
        <f t="shared" ca="1" si="51"/>
        <v>juillet</v>
      </c>
      <c r="X181" s="347">
        <f t="shared" ca="1" si="55"/>
        <v>46203</v>
      </c>
      <c r="Y181" s="452" t="str">
        <f t="shared" ca="1" si="52"/>
        <v>Mar. juillet , 2026</v>
      </c>
      <c r="Z181" s="143">
        <f t="shared" ca="1" si="43"/>
        <v>31</v>
      </c>
      <c r="AA181" s="348">
        <f t="shared" ca="1" si="44"/>
        <v>7</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Mar</v>
      </c>
      <c r="U182" s="186" t="str">
        <f t="shared" ca="1" si="51"/>
        <v>juillet</v>
      </c>
      <c r="X182" s="347">
        <f t="shared" ca="1" si="55"/>
        <v>46203</v>
      </c>
      <c r="Y182" s="452" t="str">
        <f t="shared" ca="1" si="52"/>
        <v>Mar. juillet , 2026</v>
      </c>
      <c r="Z182" s="143">
        <f t="shared" ca="1" si="43"/>
        <v>31</v>
      </c>
      <c r="AA182" s="348">
        <f t="shared" ca="1" si="44"/>
        <v>7</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Mar</v>
      </c>
      <c r="U183" s="186" t="str">
        <f t="shared" ca="1" si="51"/>
        <v>juillet</v>
      </c>
      <c r="X183" s="347">
        <f t="shared" ca="1" si="55"/>
        <v>46203</v>
      </c>
      <c r="Y183" s="452" t="str">
        <f t="shared" ca="1" si="52"/>
        <v>Mar. juillet , 2026</v>
      </c>
      <c r="Z183" s="143">
        <f t="shared" ca="1" si="43"/>
        <v>31</v>
      </c>
      <c r="AA183" s="348">
        <f t="shared" ca="1" si="44"/>
        <v>7</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Mar</v>
      </c>
      <c r="U184" s="186" t="str">
        <f t="shared" ca="1" si="51"/>
        <v>juillet</v>
      </c>
      <c r="X184" s="347">
        <f t="shared" ca="1" si="55"/>
        <v>46203</v>
      </c>
      <c r="Y184" s="452" t="str">
        <f t="shared" ca="1" si="52"/>
        <v>Mar. juillet , 2026</v>
      </c>
      <c r="Z184" s="143">
        <f t="shared" ca="1" si="43"/>
        <v>31</v>
      </c>
      <c r="AA184" s="348">
        <f t="shared" ca="1" si="44"/>
        <v>7</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Mar</v>
      </c>
      <c r="U185" s="186" t="str">
        <f t="shared" ca="1" si="51"/>
        <v>juillet</v>
      </c>
      <c r="X185" s="347">
        <f t="shared" ca="1" si="55"/>
        <v>46203</v>
      </c>
      <c r="Y185" s="452" t="str">
        <f t="shared" ca="1" si="52"/>
        <v>Mar. juillet , 2026</v>
      </c>
      <c r="Z185" s="143">
        <f t="shared" ca="1" si="43"/>
        <v>31</v>
      </c>
      <c r="AA185" s="348">
        <f t="shared" ca="1" si="44"/>
        <v>7</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Mar</v>
      </c>
      <c r="U186" s="186" t="str">
        <f t="shared" ca="1" si="51"/>
        <v>juillet</v>
      </c>
      <c r="X186" s="347">
        <f t="shared" ca="1" si="55"/>
        <v>46203</v>
      </c>
      <c r="Y186" s="452" t="str">
        <f t="shared" ca="1" si="52"/>
        <v>Mar. juillet , 2026</v>
      </c>
      <c r="Z186" s="143">
        <f t="shared" ca="1" si="43"/>
        <v>31</v>
      </c>
      <c r="AA186" s="348">
        <f t="shared" ca="1" si="44"/>
        <v>7</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Mar</v>
      </c>
      <c r="U187" s="186" t="str">
        <f t="shared" ca="1" si="51"/>
        <v>juillet</v>
      </c>
      <c r="X187" s="347">
        <f t="shared" ca="1" si="55"/>
        <v>46203</v>
      </c>
      <c r="Y187" s="452" t="str">
        <f t="shared" ca="1" si="52"/>
        <v>Mar. juillet , 2026</v>
      </c>
      <c r="Z187" s="143">
        <f t="shared" ca="1" si="43"/>
        <v>31</v>
      </c>
      <c r="AA187" s="348">
        <f t="shared" ca="1" si="44"/>
        <v>7</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Mar</v>
      </c>
      <c r="U188" s="186" t="str">
        <f t="shared" ca="1" si="51"/>
        <v>juillet</v>
      </c>
      <c r="X188" s="347">
        <f t="shared" ca="1" si="55"/>
        <v>46203</v>
      </c>
      <c r="Y188" s="452" t="str">
        <f t="shared" ca="1" si="52"/>
        <v>Mar. juillet , 2026</v>
      </c>
      <c r="Z188" s="143">
        <f t="shared" ca="1" si="43"/>
        <v>31</v>
      </c>
      <c r="AA188" s="348">
        <f t="shared" ca="1" si="44"/>
        <v>7</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Mar</v>
      </c>
      <c r="U189" s="186" t="str">
        <f t="shared" ca="1" si="51"/>
        <v>juillet</v>
      </c>
      <c r="X189" s="347">
        <f t="shared" ca="1" si="55"/>
        <v>46203</v>
      </c>
      <c r="Y189" s="452" t="str">
        <f t="shared" ca="1" si="52"/>
        <v>Mar. juillet , 2026</v>
      </c>
      <c r="Z189" s="143">
        <f t="shared" ca="1" si="43"/>
        <v>31</v>
      </c>
      <c r="AA189" s="348">
        <f t="shared" ca="1" si="44"/>
        <v>7</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Mar</v>
      </c>
      <c r="U190" s="186" t="str">
        <f t="shared" ca="1" si="51"/>
        <v>juillet</v>
      </c>
      <c r="X190" s="347">
        <f t="shared" ca="1" si="55"/>
        <v>46203</v>
      </c>
      <c r="Y190" s="452" t="str">
        <f t="shared" ca="1" si="52"/>
        <v>Mar. juillet , 2026</v>
      </c>
      <c r="Z190" s="143">
        <f t="shared" ca="1" si="43"/>
        <v>31</v>
      </c>
      <c r="AA190" s="348">
        <f t="shared" ca="1" si="44"/>
        <v>7</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Mar</v>
      </c>
      <c r="U191" s="186" t="str">
        <f t="shared" ca="1" si="51"/>
        <v>juillet</v>
      </c>
      <c r="X191" s="347">
        <f t="shared" ca="1" si="55"/>
        <v>46203</v>
      </c>
      <c r="Y191" s="452" t="str">
        <f t="shared" ca="1" si="52"/>
        <v>Mar. juillet , 2026</v>
      </c>
      <c r="Z191" s="143">
        <f t="shared" ca="1" si="43"/>
        <v>31</v>
      </c>
      <c r="AA191" s="348">
        <f t="shared" ca="1" si="44"/>
        <v>7</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Mar</v>
      </c>
      <c r="U192" s="186" t="str">
        <f t="shared" ca="1" si="51"/>
        <v>juillet</v>
      </c>
      <c r="X192" s="347">
        <f t="shared" ca="1" si="55"/>
        <v>46203</v>
      </c>
      <c r="Y192" s="452" t="str">
        <f t="shared" ca="1" si="52"/>
        <v>Mar. juillet , 2026</v>
      </c>
      <c r="Z192" s="143">
        <f t="shared" ca="1" si="43"/>
        <v>31</v>
      </c>
      <c r="AA192" s="348">
        <f t="shared" ca="1" si="44"/>
        <v>7</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Mar</v>
      </c>
      <c r="U193" s="186" t="str">
        <f t="shared" ca="1" si="51"/>
        <v>juillet</v>
      </c>
      <c r="X193" s="347">
        <f t="shared" ca="1" si="55"/>
        <v>46203</v>
      </c>
      <c r="Y193" s="452" t="str">
        <f t="shared" ca="1" si="52"/>
        <v>Mar. juillet , 2026</v>
      </c>
      <c r="Z193" s="143">
        <f t="shared" ca="1" si="43"/>
        <v>31</v>
      </c>
      <c r="AA193" s="348">
        <f t="shared" ca="1" si="44"/>
        <v>7</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Mar</v>
      </c>
      <c r="U194" s="186" t="str">
        <f t="shared" ca="1" si="51"/>
        <v>juillet</v>
      </c>
      <c r="X194" s="347">
        <f t="shared" ca="1" si="55"/>
        <v>46203</v>
      </c>
      <c r="Y194" s="452" t="str">
        <f t="shared" ca="1" si="52"/>
        <v>Mar. juillet , 2026</v>
      </c>
      <c r="Z194" s="143">
        <f t="shared" ca="1" si="43"/>
        <v>31</v>
      </c>
      <c r="AA194" s="348">
        <f t="shared" ca="1" si="44"/>
        <v>7</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13" priority="60" stopIfTrue="1">
      <formula>AND($AJ$2=$AF$5,$X$16=$X$13)</formula>
    </cfRule>
  </conditionalFormatting>
  <conditionalFormatting sqref="B18">
    <cfRule type="expression" dxfId="412" priority="39" stopIfTrue="1">
      <formula>(B18&gt;DATE(2000+$Y$2,$AA$21+1,1)-DATE(2000+$Y$2,$AA$21,1))</formula>
    </cfRule>
  </conditionalFormatting>
  <conditionalFormatting sqref="B20:B194">
    <cfRule type="expression" dxfId="411" priority="6" stopIfTrue="1">
      <formula>($G20="- -")</formula>
    </cfRule>
  </conditionalFormatting>
  <conditionalFormatting sqref="B16:J16">
    <cfRule type="expression" dxfId="410" priority="46" stopIfTrue="1">
      <formula>AND($AJ$2=$AF$5,$X$16=$X$13)</formula>
    </cfRule>
  </conditionalFormatting>
  <conditionalFormatting sqref="C17">
    <cfRule type="cellIs" dxfId="409" priority="45" stopIfTrue="1" operator="equal">
      <formula>"X"</formula>
    </cfRule>
  </conditionalFormatting>
  <conditionalFormatting sqref="C20:C194">
    <cfRule type="expression" dxfId="408" priority="14" stopIfTrue="1">
      <formula>($X$16=$X$14)</formula>
    </cfRule>
    <cfRule type="expression" dxfId="407" priority="15" stopIfTrue="1">
      <formula>($AV20=1)</formula>
    </cfRule>
    <cfRule type="expression" dxfId="406" priority="16" stopIfTrue="1">
      <formula>AND(D20=1+D19,G20=X20)</formula>
    </cfRule>
  </conditionalFormatting>
  <conditionalFormatting sqref="C9:J9">
    <cfRule type="expression" dxfId="405" priority="71" stopIfTrue="1">
      <formula>AND(ISNUMBER(C$9),ISNUMBER(C10),(C$9&gt;C$10))</formula>
    </cfRule>
  </conditionalFormatting>
  <conditionalFormatting sqref="C10:J10">
    <cfRule type="expression" dxfId="404" priority="77" stopIfTrue="1">
      <formula>AND(ISNUMBER(C$9),ISNUMBER(C10),(C$9&gt;C$10))</formula>
    </cfRule>
  </conditionalFormatting>
  <conditionalFormatting sqref="D20">
    <cfRule type="expression" dxfId="403" priority="18" stopIfTrue="1">
      <formula>AND($G20&lt;&gt;"- -",$G20&lt;&gt;$Y20)</formula>
    </cfRule>
    <cfRule type="expression" dxfId="402" priority="19" stopIfTrue="1">
      <formula>($AI20=1)</formula>
    </cfRule>
  </conditionalFormatting>
  <conditionalFormatting sqref="D21:D194">
    <cfRule type="expression" dxfId="401" priority="63" stopIfTrue="1">
      <formula>($AI21=1)</formula>
    </cfRule>
    <cfRule type="expression" dxfId="400" priority="62" stopIfTrue="1">
      <formula>AND($G21&lt;&gt;"- -",$G21&lt;&gt;$Y21)</formula>
    </cfRule>
  </conditionalFormatting>
  <conditionalFormatting sqref="D18:G19">
    <cfRule type="expression" dxfId="399" priority="38" stopIfTrue="1">
      <formula>($AB$16&lt;2)</formula>
    </cfRule>
  </conditionalFormatting>
  <conditionalFormatting sqref="D20:G194">
    <cfRule type="expression" dxfId="398" priority="17" stopIfTrue="1">
      <formula>OR($G20=$G19,$D20=$D19)</formula>
    </cfRule>
  </conditionalFormatting>
  <conditionalFormatting sqref="E8:F8">
    <cfRule type="expression" dxfId="397" priority="73" stopIfTrue="1">
      <formula>AND(ISNUMBER(E$9),ISNUMBER(E10),(E$9&gt;E$10))</formula>
    </cfRule>
    <cfRule type="expression" dxfId="396" priority="72" stopIfTrue="1">
      <formula>(BJ$13&gt;0)</formula>
    </cfRule>
  </conditionalFormatting>
  <conditionalFormatting sqref="E20:G20">
    <cfRule type="expression" dxfId="395" priority="22" stopIfTrue="1">
      <formula>($AI20+$AX20&gt;0)</formula>
    </cfRule>
    <cfRule type="expression" dxfId="394" priority="21" stopIfTrue="1">
      <formula>AND($G20&lt;&gt;"- -",$G20&lt;&gt;$Y20)</formula>
    </cfRule>
  </conditionalFormatting>
  <conditionalFormatting sqref="E21:G194">
    <cfRule type="expression" dxfId="393" priority="66" stopIfTrue="1">
      <formula>($AI21+$AX21&gt;0)</formula>
    </cfRule>
    <cfRule type="expression" dxfId="392" priority="65" stopIfTrue="1">
      <formula>AND($G21&lt;&gt;"- -",$G21&lt;&gt;$Y21)</formula>
    </cfRule>
  </conditionalFormatting>
  <conditionalFormatting sqref="G8:J8">
    <cfRule type="expression" dxfId="391" priority="75" stopIfTrue="1">
      <formula>AND(ISNUMBER(G$9),ISNUMBER(G10),(G$9&gt;G$10))</formula>
    </cfRule>
    <cfRule type="expression" dxfId="390" priority="74" stopIfTrue="1">
      <formula>(BK$13&gt;0)</formula>
    </cfRule>
  </conditionalFormatting>
  <conditionalFormatting sqref="H6:I7">
    <cfRule type="expression" dxfId="389" priority="76" stopIfTrue="1">
      <formula>AND(ISNUMBER($H$7),$H$7&lt;$I$7)</formula>
    </cfRule>
  </conditionalFormatting>
  <conditionalFormatting sqref="H21:J194">
    <cfRule type="expression" dxfId="388" priority="4" stopIfTrue="1">
      <formula>($D20=$D21)</formula>
    </cfRule>
  </conditionalFormatting>
  <conditionalFormatting sqref="J7">
    <cfRule type="cellIs" dxfId="387" priority="50" stopIfTrue="1" operator="lessThan">
      <formula>0</formula>
    </cfRule>
  </conditionalFormatting>
  <conditionalFormatting sqref="K20:K34">
    <cfRule type="expression" dxfId="386" priority="70" stopIfTrue="1">
      <formula>AND(ISNUMBER(K20),ISNUMBER(L20),OR(K20&lt;L19,K20&gt;L20))</formula>
    </cfRule>
  </conditionalFormatting>
  <conditionalFormatting sqref="K35:K194">
    <cfRule type="expression" dxfId="385" priority="59" stopIfTrue="1">
      <formula>AND(ISNUMBER(K35),OR(K35&lt;L34,K35&gt;L35,$BM35&lt;&gt;1))</formula>
    </cfRule>
  </conditionalFormatting>
  <conditionalFormatting sqref="K18:L18 BE19:BF19">
    <cfRule type="expression" dxfId="384" priority="28" stopIfTrue="1">
      <formula>($K$19=$AL$7)</formula>
    </cfRule>
  </conditionalFormatting>
  <conditionalFormatting sqref="K20:M194">
    <cfRule type="expression" dxfId="383" priority="52" stopIfTrue="1">
      <formula>OR($AJ$2=$AF$5,$AW20=0,$AV20=1,$AG20=99)</formula>
    </cfRule>
  </conditionalFormatting>
  <conditionalFormatting sqref="L20:L34">
    <cfRule type="expression" dxfId="382" priority="68" stopIfTrue="1">
      <formula>AND(ISNUMBER(L20),OR(AND(L20&lt;K19,B20&gt;1),K20&gt;L20))</formula>
    </cfRule>
  </conditionalFormatting>
  <conditionalFormatting sqref="L35:L194">
    <cfRule type="expression" dxfId="381" priority="57" stopIfTrue="1">
      <formula>AND(ISNUMBER(L35),OR(AND(L35&lt;K34,B35&gt;1),K35&gt;L35,$BN35&lt;&gt;1))</formula>
    </cfRule>
  </conditionalFormatting>
  <conditionalFormatting sqref="M19 BG20">
    <cfRule type="cellIs" dxfId="380" priority="43" stopIfTrue="1" operator="equal">
      <formula>0</formula>
    </cfRule>
    <cfRule type="expression" dxfId="379" priority="44" stopIfTrue="1">
      <formula>($AJ$2=$AF$5)</formula>
    </cfRule>
  </conditionalFormatting>
  <conditionalFormatting sqref="M20:M194">
    <cfRule type="cellIs" dxfId="378" priority="53" stopIfTrue="1" operator="lessThan">
      <formula>0</formula>
    </cfRule>
    <cfRule type="expression" dxfId="377" priority="54" stopIfTrue="1">
      <formula>($D19=$D20)</formula>
    </cfRule>
  </conditionalFormatting>
  <conditionalFormatting sqref="N19:Q19 BH20:BK20">
    <cfRule type="cellIs" dxfId="376" priority="41" stopIfTrue="1" operator="equal">
      <formula>0</formula>
    </cfRule>
    <cfRule type="expression" dxfId="375" priority="42" stopIfTrue="1">
      <formula>($AJ$2=$AF$5)</formula>
    </cfRule>
  </conditionalFormatting>
  <conditionalFormatting sqref="N20:Q194">
    <cfRule type="expression" dxfId="374" priority="51" stopIfTrue="1">
      <formula>OR($AW20=0,$AV20=1,$AG20=99,$AJ$2=$AF$5)</formula>
    </cfRule>
  </conditionalFormatting>
  <conditionalFormatting sqref="R20:R194">
    <cfRule type="expression" dxfId="373" priority="13" stopIfTrue="1">
      <formula>($AI20=1)</formula>
    </cfRule>
    <cfRule type="expression" dxfId="372" priority="12" stopIfTrue="1">
      <formula>"ND($G21&lt;&gt;""- -"",$G21&lt;&gt;TEXT(X21,""Dddd, Mmmm dd, Yyyy""))"</formula>
    </cfRule>
    <cfRule type="expression" dxfId="371" priority="11" stopIfTrue="1">
      <formula>OR($G20=$G19,$D20=$D19)</formula>
    </cfRule>
  </conditionalFormatting>
  <conditionalFormatting sqref="U5">
    <cfRule type="expression" dxfId="370" priority="24" stopIfTrue="1">
      <formula>OR($AC$7,$AC$6)</formula>
    </cfRule>
  </conditionalFormatting>
  <conditionalFormatting sqref="U18 X20:Z194 AC20:AE194 AK20:AK194 AQ20:AR194">
    <cfRule type="cellIs" dxfId="369" priority="5" stopIfTrue="1" operator="notEqual">
      <formula>U17</formula>
    </cfRule>
  </conditionalFormatting>
  <conditionalFormatting sqref="U201:AB201">
    <cfRule type="expression" dxfId="368" priority="40" stopIfTrue="1">
      <formula>(LEN($X$11)&gt;4)</formula>
    </cfRule>
  </conditionalFormatting>
  <conditionalFormatting sqref="V5:V7 J6 U6:U7">
    <cfRule type="expression" dxfId="367" priority="23" stopIfTrue="1">
      <formula>OR($AC$7,$AC$6,#REF!)</formula>
    </cfRule>
  </conditionalFormatting>
  <conditionalFormatting sqref="V19">
    <cfRule type="cellIs" dxfId="366" priority="25" stopIfTrue="1" operator="equal">
      <formula>1</formula>
    </cfRule>
  </conditionalFormatting>
  <conditionalFormatting sqref="AB6">
    <cfRule type="expression" dxfId="365" priority="31" stopIfTrue="1">
      <formula>$AC$6</formula>
    </cfRule>
  </conditionalFormatting>
  <conditionalFormatting sqref="AB7">
    <cfRule type="expression" dxfId="364" priority="30" stopIfTrue="1">
      <formula>$AC$7</formula>
    </cfRule>
  </conditionalFormatting>
  <conditionalFormatting sqref="AB20:AB194">
    <cfRule type="cellIs" dxfId="363" priority="48" stopIfTrue="1" operator="greaterThan">
      <formula>0</formula>
    </cfRule>
    <cfRule type="cellIs" dxfId="362" priority="49" stopIfTrue="1" operator="lessThan">
      <formula>0</formula>
    </cfRule>
  </conditionalFormatting>
  <conditionalFormatting sqref="AF20:AG194">
    <cfRule type="cellIs" dxfId="361" priority="34" stopIfTrue="1" operator="greaterThan">
      <formula>1</formula>
    </cfRule>
  </conditionalFormatting>
  <conditionalFormatting sqref="AJ16:AJ17 AJ20:AJ194">
    <cfRule type="cellIs" dxfId="360" priority="33" stopIfTrue="1" operator="greaterThan">
      <formula>0</formula>
    </cfRule>
  </conditionalFormatting>
  <conditionalFormatting sqref="AK2:BO2">
    <cfRule type="cellIs" dxfId="359" priority="37" stopIfTrue="1" operator="equal">
      <formula>0</formula>
    </cfRule>
  </conditionalFormatting>
  <conditionalFormatting sqref="AK5:BO6">
    <cfRule type="cellIs" dxfId="358" priority="32" stopIfTrue="1" operator="equal">
      <formula>0</formula>
    </cfRule>
  </conditionalFormatting>
  <conditionalFormatting sqref="AP20:AP194">
    <cfRule type="cellIs" dxfId="357" priority="27" stopIfTrue="1" operator="lessThan">
      <formula>999</formula>
    </cfRule>
  </conditionalFormatting>
  <conditionalFormatting sqref="AU20:AU194">
    <cfRule type="expression" dxfId="356" priority="36" stopIfTrue="1">
      <formula>LEN(AU20)&gt;2</formula>
    </cfRule>
  </conditionalFormatting>
  <conditionalFormatting sqref="AV20:AV194">
    <cfRule type="cellIs" dxfId="355" priority="35" stopIfTrue="1" operator="equal">
      <formula>1</formula>
    </cfRule>
  </conditionalFormatting>
  <conditionalFormatting sqref="AW20:AW194">
    <cfRule type="cellIs" dxfId="354" priority="47" stopIfTrue="1" operator="equal">
      <formula>0</formula>
    </cfRule>
  </conditionalFormatting>
  <conditionalFormatting sqref="BE20:BF20">
    <cfRule type="expression" dxfId="353" priority="29" stopIfTrue="1">
      <formula>($K$19=$AL$7)</formula>
    </cfRule>
  </conditionalFormatting>
  <conditionalFormatting sqref="BI10:BI12 BF11:BF12">
    <cfRule type="expression" dxfId="352" priority="8" stopIfTrue="1">
      <formula>(LEN($C$9)=0)</formula>
    </cfRule>
  </conditionalFormatting>
  <conditionalFormatting sqref="BI10:BN12 BF11:BF12">
    <cfRule type="expression" dxfId="351" priority="7" stopIfTrue="1">
      <formula>LEN($AA9)&gt;4</formula>
    </cfRule>
  </conditionalFormatting>
  <conditionalFormatting sqref="BJ10:BN12">
    <cfRule type="expression" dxfId="350" priority="10" stopIfTrue="1">
      <formula>(LEN(E$9)=0)</formula>
    </cfRule>
  </conditionalFormatting>
  <conditionalFormatting sqref="BJ13:BN13 R16:R17">
    <cfRule type="cellIs" dxfId="349" priority="26" stopIfTrue="1" operator="equal">
      <formula>0</formula>
    </cfRule>
  </conditionalFormatting>
  <conditionalFormatting sqref="BM20:BN194">
    <cfRule type="cellIs" dxfId="348" priority="55" stopIfTrue="1" operator="notEqual">
      <formula>1</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automobile/2026/[electronic-car-log-2025-fr.xlsx]08</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08</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août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August</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8</v>
      </c>
      <c r="AE6" s="144" t="str">
        <f ca="1">TEXT(DATE($AE$7,$AD$6,1),"Mmmm, YYYY")</f>
        <v>August,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46234</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août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August</v>
      </c>
      <c r="V18" s="510" t="str">
        <f ca="1">AE6</f>
        <v>August,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août</v>
      </c>
      <c r="V19" s="510" t="str">
        <f ca="1">U19&amp;" "&amp;Year_four_digits</f>
        <v>août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Sam.  1 août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Sam</v>
      </c>
      <c r="U20" s="186" t="str">
        <f ca="1">$U$19</f>
        <v>août</v>
      </c>
      <c r="X20" s="347">
        <f ca="1">$AE$8+D20</f>
        <v>46235</v>
      </c>
      <c r="Y20" s="452" t="str">
        <f ca="1">IF(Y14="f",T20&amp;". "&amp;" "&amp;R20&amp;" "&amp;U20&amp;" "&amp;$AE$7,T20&amp;". "&amp;U20&amp;" "&amp;R20&amp;", "&amp;$AE$7)</f>
        <v>Sam.  1 août 2026</v>
      </c>
      <c r="Z20" s="143">
        <f t="shared" ref="Z20:Z83" ca="1" si="4">MIN(R20,$AF$5)</f>
        <v>1</v>
      </c>
      <c r="AA20" s="348">
        <f t="shared" ref="AA20:AA83" ca="1" si="5">$AD$6</f>
        <v>8</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Ven</v>
      </c>
      <c r="U21" s="186" t="str">
        <f t="shared" ref="U21:U84" ca="1" si="13">$U$19</f>
        <v>août</v>
      </c>
      <c r="X21" s="347">
        <f ca="1">$AE$8+D21</f>
        <v>46234</v>
      </c>
      <c r="Y21" s="452" t="str">
        <f t="shared" ref="Y21:Y84" ca="1" si="14">IF(Y15="f",T21&amp;". "&amp;" "&amp;R21&amp;" "&amp;U21&amp;" "&amp;$AE$7,T21&amp;". "&amp;U21&amp;" "&amp;R21&amp;", "&amp;$AE$7)</f>
        <v>Ven. août , 2026</v>
      </c>
      <c r="Z21" s="143">
        <f t="shared" ca="1" si="4"/>
        <v>31</v>
      </c>
      <c r="AA21" s="348">
        <f t="shared" ca="1" si="5"/>
        <v>8</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Ven</v>
      </c>
      <c r="U22" s="186" t="str">
        <f t="shared" ca="1" si="13"/>
        <v>août</v>
      </c>
      <c r="X22" s="347">
        <f t="shared" ref="X22:X85" ca="1" si="17">$AE$8+D22</f>
        <v>46234</v>
      </c>
      <c r="Y22" s="452" t="str">
        <f t="shared" ca="1" si="14"/>
        <v>Ven. août , 2026</v>
      </c>
      <c r="Z22" s="143">
        <f t="shared" ca="1" si="4"/>
        <v>31</v>
      </c>
      <c r="AA22" s="348">
        <f t="shared" ca="1" si="5"/>
        <v>8</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Ven</v>
      </c>
      <c r="U23" s="186" t="str">
        <f t="shared" ca="1" si="13"/>
        <v>août</v>
      </c>
      <c r="X23" s="347">
        <f t="shared" ca="1" si="17"/>
        <v>46234</v>
      </c>
      <c r="Y23" s="452" t="str">
        <f t="shared" ca="1" si="14"/>
        <v>Ven. août , 2026</v>
      </c>
      <c r="Z23" s="143">
        <f t="shared" ca="1" si="4"/>
        <v>31</v>
      </c>
      <c r="AA23" s="348">
        <f t="shared" ca="1" si="5"/>
        <v>8</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Ven</v>
      </c>
      <c r="U24" s="186" t="str">
        <f t="shared" ca="1" si="13"/>
        <v>août</v>
      </c>
      <c r="X24" s="347">
        <f t="shared" ca="1" si="17"/>
        <v>46234</v>
      </c>
      <c r="Y24" s="452" t="str">
        <f t="shared" ca="1" si="14"/>
        <v>Ven. août , 2026</v>
      </c>
      <c r="Z24" s="143">
        <f t="shared" ca="1" si="4"/>
        <v>31</v>
      </c>
      <c r="AA24" s="348">
        <f t="shared" ca="1" si="5"/>
        <v>8</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Ven</v>
      </c>
      <c r="U25" s="186" t="str">
        <f t="shared" ca="1" si="13"/>
        <v>août</v>
      </c>
      <c r="X25" s="347">
        <f t="shared" ca="1" si="17"/>
        <v>46234</v>
      </c>
      <c r="Y25" s="452" t="str">
        <f t="shared" ca="1" si="14"/>
        <v>Ven. août , 2026</v>
      </c>
      <c r="Z25" s="143">
        <f t="shared" ca="1" si="4"/>
        <v>31</v>
      </c>
      <c r="AA25" s="348">
        <f t="shared" ca="1" si="5"/>
        <v>8</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Ven</v>
      </c>
      <c r="U26" s="186" t="str">
        <f t="shared" ca="1" si="13"/>
        <v>août</v>
      </c>
      <c r="X26" s="347">
        <f t="shared" ca="1" si="17"/>
        <v>46234</v>
      </c>
      <c r="Y26" s="452" t="str">
        <f t="shared" ca="1" si="14"/>
        <v>Ven. août , 2026</v>
      </c>
      <c r="Z26" s="143">
        <f t="shared" ca="1" si="4"/>
        <v>31</v>
      </c>
      <c r="AA26" s="348">
        <f t="shared" ca="1" si="5"/>
        <v>8</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Ven</v>
      </c>
      <c r="U27" s="186" t="str">
        <f t="shared" ca="1" si="13"/>
        <v>août</v>
      </c>
      <c r="X27" s="347">
        <f t="shared" ca="1" si="17"/>
        <v>46234</v>
      </c>
      <c r="Y27" s="452" t="str">
        <f t="shared" ca="1" si="14"/>
        <v>Ven. août , 2026</v>
      </c>
      <c r="Z27" s="143">
        <f t="shared" ca="1" si="4"/>
        <v>31</v>
      </c>
      <c r="AA27" s="348">
        <f t="shared" ca="1" si="5"/>
        <v>8</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Ven</v>
      </c>
      <c r="U28" s="186" t="str">
        <f t="shared" ca="1" si="13"/>
        <v>août</v>
      </c>
      <c r="X28" s="347">
        <f t="shared" ca="1" si="17"/>
        <v>46234</v>
      </c>
      <c r="Y28" s="452" t="str">
        <f t="shared" ca="1" si="14"/>
        <v>Ven. août , 2026</v>
      </c>
      <c r="Z28" s="143">
        <f t="shared" ca="1" si="4"/>
        <v>31</v>
      </c>
      <c r="AA28" s="348">
        <f t="shared" ca="1" si="5"/>
        <v>8</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Ven</v>
      </c>
      <c r="U29" s="186" t="str">
        <f t="shared" ca="1" si="13"/>
        <v>août</v>
      </c>
      <c r="X29" s="347">
        <f t="shared" ca="1" si="17"/>
        <v>46234</v>
      </c>
      <c r="Y29" s="452" t="str">
        <f t="shared" ca="1" si="14"/>
        <v>Ven. août , 2026</v>
      </c>
      <c r="Z29" s="143">
        <f t="shared" ca="1" si="4"/>
        <v>31</v>
      </c>
      <c r="AA29" s="348">
        <f t="shared" ca="1" si="5"/>
        <v>8</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Ven</v>
      </c>
      <c r="U30" s="186" t="str">
        <f t="shared" ca="1" si="13"/>
        <v>août</v>
      </c>
      <c r="X30" s="347">
        <f t="shared" ca="1" si="17"/>
        <v>46234</v>
      </c>
      <c r="Y30" s="452" t="str">
        <f t="shared" ca="1" si="14"/>
        <v>Ven. août , 2026</v>
      </c>
      <c r="Z30" s="143">
        <f t="shared" ca="1" si="4"/>
        <v>31</v>
      </c>
      <c r="AA30" s="348">
        <f t="shared" ca="1" si="5"/>
        <v>8</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Ven</v>
      </c>
      <c r="U31" s="186" t="str">
        <f t="shared" ca="1" si="13"/>
        <v>août</v>
      </c>
      <c r="X31" s="347">
        <f t="shared" ca="1" si="17"/>
        <v>46234</v>
      </c>
      <c r="Y31" s="452" t="str">
        <f t="shared" ca="1" si="14"/>
        <v>Ven. août , 2026</v>
      </c>
      <c r="Z31" s="143">
        <f t="shared" ca="1" si="4"/>
        <v>31</v>
      </c>
      <c r="AA31" s="348">
        <f t="shared" ca="1" si="5"/>
        <v>8</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Ven</v>
      </c>
      <c r="U32" s="186" t="str">
        <f t="shared" ca="1" si="13"/>
        <v>août</v>
      </c>
      <c r="X32" s="347">
        <f t="shared" ca="1" si="17"/>
        <v>46234</v>
      </c>
      <c r="Y32" s="452" t="str">
        <f t="shared" ca="1" si="14"/>
        <v>Ven. août , 2026</v>
      </c>
      <c r="Z32" s="143">
        <f t="shared" ca="1" si="4"/>
        <v>31</v>
      </c>
      <c r="AA32" s="348">
        <f t="shared" ca="1" si="5"/>
        <v>8</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Ven</v>
      </c>
      <c r="U33" s="186" t="str">
        <f t="shared" ca="1" si="13"/>
        <v>août</v>
      </c>
      <c r="X33" s="347">
        <f t="shared" ca="1" si="17"/>
        <v>46234</v>
      </c>
      <c r="Y33" s="452" t="str">
        <f t="shared" ca="1" si="14"/>
        <v>Ven. août , 2026</v>
      </c>
      <c r="Z33" s="143">
        <f t="shared" ca="1" si="4"/>
        <v>31</v>
      </c>
      <c r="AA33" s="348">
        <f t="shared" ca="1" si="5"/>
        <v>8</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Ven</v>
      </c>
      <c r="U34" s="186" t="str">
        <f t="shared" ca="1" si="13"/>
        <v>août</v>
      </c>
      <c r="X34" s="347">
        <f t="shared" ca="1" si="17"/>
        <v>46234</v>
      </c>
      <c r="Y34" s="452" t="str">
        <f t="shared" ca="1" si="14"/>
        <v>Ven. août , 2026</v>
      </c>
      <c r="Z34" s="143">
        <f t="shared" ca="1" si="4"/>
        <v>31</v>
      </c>
      <c r="AA34" s="348">
        <f t="shared" ca="1" si="5"/>
        <v>8</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Ven</v>
      </c>
      <c r="U35" s="186" t="str">
        <f t="shared" ca="1" si="13"/>
        <v>août</v>
      </c>
      <c r="X35" s="347">
        <f t="shared" ca="1" si="17"/>
        <v>46234</v>
      </c>
      <c r="Y35" s="452" t="str">
        <f t="shared" ca="1" si="14"/>
        <v>Ven. août , 2026</v>
      </c>
      <c r="Z35" s="143">
        <f t="shared" ca="1" si="4"/>
        <v>31</v>
      </c>
      <c r="AA35" s="348">
        <f t="shared" ca="1" si="5"/>
        <v>8</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Ven</v>
      </c>
      <c r="U36" s="186" t="str">
        <f t="shared" ca="1" si="13"/>
        <v>août</v>
      </c>
      <c r="X36" s="347">
        <f t="shared" ca="1" si="17"/>
        <v>46234</v>
      </c>
      <c r="Y36" s="452" t="str">
        <f t="shared" ca="1" si="14"/>
        <v>Ven. août , 2026</v>
      </c>
      <c r="Z36" s="143">
        <f t="shared" ca="1" si="4"/>
        <v>31</v>
      </c>
      <c r="AA36" s="348">
        <f t="shared" ca="1" si="5"/>
        <v>8</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Ven</v>
      </c>
      <c r="U37" s="186" t="str">
        <f t="shared" ca="1" si="13"/>
        <v>août</v>
      </c>
      <c r="X37" s="347">
        <f t="shared" ca="1" si="17"/>
        <v>46234</v>
      </c>
      <c r="Y37" s="452" t="str">
        <f t="shared" ca="1" si="14"/>
        <v>Ven. août , 2026</v>
      </c>
      <c r="Z37" s="143">
        <f t="shared" ca="1" si="4"/>
        <v>31</v>
      </c>
      <c r="AA37" s="348">
        <f t="shared" ca="1" si="5"/>
        <v>8</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Ven</v>
      </c>
      <c r="U38" s="186" t="str">
        <f t="shared" ca="1" si="13"/>
        <v>août</v>
      </c>
      <c r="X38" s="347">
        <f t="shared" ca="1" si="17"/>
        <v>46234</v>
      </c>
      <c r="Y38" s="452" t="str">
        <f t="shared" ca="1" si="14"/>
        <v>Ven. août , 2026</v>
      </c>
      <c r="Z38" s="143">
        <f t="shared" ca="1" si="4"/>
        <v>31</v>
      </c>
      <c r="AA38" s="348">
        <f t="shared" ca="1" si="5"/>
        <v>8</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Ven</v>
      </c>
      <c r="U39" s="186" t="str">
        <f t="shared" ca="1" si="13"/>
        <v>août</v>
      </c>
      <c r="X39" s="347">
        <f t="shared" ca="1" si="17"/>
        <v>46234</v>
      </c>
      <c r="Y39" s="452" t="str">
        <f t="shared" ca="1" si="14"/>
        <v>Ven. août , 2026</v>
      </c>
      <c r="Z39" s="143">
        <f t="shared" ca="1" si="4"/>
        <v>31</v>
      </c>
      <c r="AA39" s="348">
        <f t="shared" ca="1" si="5"/>
        <v>8</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Ven</v>
      </c>
      <c r="U40" s="186" t="str">
        <f t="shared" ca="1" si="13"/>
        <v>août</v>
      </c>
      <c r="X40" s="347">
        <f t="shared" ca="1" si="17"/>
        <v>46234</v>
      </c>
      <c r="Y40" s="452" t="str">
        <f t="shared" ca="1" si="14"/>
        <v>Ven. août , 2026</v>
      </c>
      <c r="Z40" s="143">
        <f t="shared" ca="1" si="4"/>
        <v>31</v>
      </c>
      <c r="AA40" s="348">
        <f t="shared" ca="1" si="5"/>
        <v>8</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Ven</v>
      </c>
      <c r="U41" s="186" t="str">
        <f t="shared" ca="1" si="13"/>
        <v>août</v>
      </c>
      <c r="X41" s="347">
        <f t="shared" ca="1" si="17"/>
        <v>46234</v>
      </c>
      <c r="Y41" s="452" t="str">
        <f t="shared" ca="1" si="14"/>
        <v>Ven. août , 2026</v>
      </c>
      <c r="Z41" s="143">
        <f t="shared" ca="1" si="4"/>
        <v>31</v>
      </c>
      <c r="AA41" s="348">
        <f t="shared" ca="1" si="5"/>
        <v>8</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Ven</v>
      </c>
      <c r="U42" s="186" t="str">
        <f t="shared" ca="1" si="13"/>
        <v>août</v>
      </c>
      <c r="X42" s="347">
        <f t="shared" ca="1" si="17"/>
        <v>46234</v>
      </c>
      <c r="Y42" s="452" t="str">
        <f t="shared" ca="1" si="14"/>
        <v>Ven. août , 2026</v>
      </c>
      <c r="Z42" s="143">
        <f t="shared" ca="1" si="4"/>
        <v>31</v>
      </c>
      <c r="AA42" s="348">
        <f t="shared" ca="1" si="5"/>
        <v>8</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Ven</v>
      </c>
      <c r="U43" s="186" t="str">
        <f t="shared" ca="1" si="13"/>
        <v>août</v>
      </c>
      <c r="X43" s="347">
        <f t="shared" ca="1" si="17"/>
        <v>46234</v>
      </c>
      <c r="Y43" s="452" t="str">
        <f t="shared" ca="1" si="14"/>
        <v>Ven. août , 2026</v>
      </c>
      <c r="Z43" s="143">
        <f t="shared" ca="1" si="4"/>
        <v>31</v>
      </c>
      <c r="AA43" s="348">
        <f t="shared" ca="1" si="5"/>
        <v>8</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Ven</v>
      </c>
      <c r="U44" s="186" t="str">
        <f t="shared" ca="1" si="13"/>
        <v>août</v>
      </c>
      <c r="X44" s="347">
        <f t="shared" ca="1" si="17"/>
        <v>46234</v>
      </c>
      <c r="Y44" s="452" t="str">
        <f t="shared" ca="1" si="14"/>
        <v>Ven. août , 2026</v>
      </c>
      <c r="Z44" s="143">
        <f t="shared" ca="1" si="4"/>
        <v>31</v>
      </c>
      <c r="AA44" s="348">
        <f t="shared" ca="1" si="5"/>
        <v>8</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Ven</v>
      </c>
      <c r="U45" s="186" t="str">
        <f t="shared" ca="1" si="13"/>
        <v>août</v>
      </c>
      <c r="X45" s="347">
        <f t="shared" ca="1" si="17"/>
        <v>46234</v>
      </c>
      <c r="Y45" s="452" t="str">
        <f t="shared" ca="1" si="14"/>
        <v>Ven. août , 2026</v>
      </c>
      <c r="Z45" s="143">
        <f t="shared" ca="1" si="4"/>
        <v>31</v>
      </c>
      <c r="AA45" s="348">
        <f t="shared" ca="1" si="5"/>
        <v>8</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Ven</v>
      </c>
      <c r="U46" s="186" t="str">
        <f t="shared" ca="1" si="13"/>
        <v>août</v>
      </c>
      <c r="X46" s="347">
        <f t="shared" ca="1" si="17"/>
        <v>46234</v>
      </c>
      <c r="Y46" s="452" t="str">
        <f t="shared" ca="1" si="14"/>
        <v>Ven. août , 2026</v>
      </c>
      <c r="Z46" s="143">
        <f t="shared" ca="1" si="4"/>
        <v>31</v>
      </c>
      <c r="AA46" s="348">
        <f t="shared" ca="1" si="5"/>
        <v>8</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Ven</v>
      </c>
      <c r="U47" s="186" t="str">
        <f t="shared" ca="1" si="13"/>
        <v>août</v>
      </c>
      <c r="X47" s="347">
        <f t="shared" ca="1" si="17"/>
        <v>46234</v>
      </c>
      <c r="Y47" s="452" t="str">
        <f t="shared" ca="1" si="14"/>
        <v>Ven. août , 2026</v>
      </c>
      <c r="Z47" s="143">
        <f t="shared" ca="1" si="4"/>
        <v>31</v>
      </c>
      <c r="AA47" s="348">
        <f t="shared" ca="1" si="5"/>
        <v>8</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Ven</v>
      </c>
      <c r="U48" s="186" t="str">
        <f t="shared" ca="1" si="13"/>
        <v>août</v>
      </c>
      <c r="X48" s="347">
        <f t="shared" ca="1" si="17"/>
        <v>46234</v>
      </c>
      <c r="Y48" s="452" t="str">
        <f t="shared" ca="1" si="14"/>
        <v>Ven. août , 2026</v>
      </c>
      <c r="Z48" s="143">
        <f t="shared" ca="1" si="4"/>
        <v>31</v>
      </c>
      <c r="AA48" s="348">
        <f t="shared" ca="1" si="5"/>
        <v>8</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Ven</v>
      </c>
      <c r="U49" s="186" t="str">
        <f t="shared" ca="1" si="13"/>
        <v>août</v>
      </c>
      <c r="X49" s="347">
        <f t="shared" ca="1" si="17"/>
        <v>46234</v>
      </c>
      <c r="Y49" s="452" t="str">
        <f t="shared" ca="1" si="14"/>
        <v>Ven. août , 2026</v>
      </c>
      <c r="Z49" s="143">
        <f t="shared" ca="1" si="4"/>
        <v>31</v>
      </c>
      <c r="AA49" s="348">
        <f t="shared" ca="1" si="5"/>
        <v>8</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Ven</v>
      </c>
      <c r="U50" s="186" t="str">
        <f t="shared" ca="1" si="13"/>
        <v>août</v>
      </c>
      <c r="X50" s="347">
        <f t="shared" ca="1" si="17"/>
        <v>46234</v>
      </c>
      <c r="Y50" s="452" t="str">
        <f t="shared" ca="1" si="14"/>
        <v>Ven. août , 2026</v>
      </c>
      <c r="Z50" s="143">
        <f t="shared" ca="1" si="4"/>
        <v>31</v>
      </c>
      <c r="AA50" s="348">
        <f t="shared" ca="1" si="5"/>
        <v>8</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Ven</v>
      </c>
      <c r="U51" s="186" t="str">
        <f t="shared" ca="1" si="13"/>
        <v>août</v>
      </c>
      <c r="X51" s="347">
        <f t="shared" ca="1" si="17"/>
        <v>46234</v>
      </c>
      <c r="Y51" s="452" t="str">
        <f t="shared" ca="1" si="14"/>
        <v>Ven. août , 2026</v>
      </c>
      <c r="Z51" s="143">
        <f t="shared" ca="1" si="4"/>
        <v>31</v>
      </c>
      <c r="AA51" s="348">
        <f t="shared" ca="1" si="5"/>
        <v>8</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Ven</v>
      </c>
      <c r="U52" s="186" t="str">
        <f t="shared" ca="1" si="13"/>
        <v>août</v>
      </c>
      <c r="X52" s="347">
        <f t="shared" ca="1" si="17"/>
        <v>46234</v>
      </c>
      <c r="Y52" s="452" t="str">
        <f t="shared" ca="1" si="14"/>
        <v>Ven. août , 2026</v>
      </c>
      <c r="Z52" s="143">
        <f t="shared" ca="1" si="4"/>
        <v>31</v>
      </c>
      <c r="AA52" s="348">
        <f t="shared" ca="1" si="5"/>
        <v>8</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Ven</v>
      </c>
      <c r="U53" s="186" t="str">
        <f t="shared" ca="1" si="13"/>
        <v>août</v>
      </c>
      <c r="X53" s="347">
        <f t="shared" ca="1" si="17"/>
        <v>46234</v>
      </c>
      <c r="Y53" s="452" t="str">
        <f t="shared" ca="1" si="14"/>
        <v>Ven. août , 2026</v>
      </c>
      <c r="Z53" s="143">
        <f t="shared" ca="1" si="4"/>
        <v>31</v>
      </c>
      <c r="AA53" s="348">
        <f t="shared" ca="1" si="5"/>
        <v>8</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Ven</v>
      </c>
      <c r="U54" s="186" t="str">
        <f t="shared" ca="1" si="13"/>
        <v>août</v>
      </c>
      <c r="X54" s="347">
        <f t="shared" ca="1" si="17"/>
        <v>46234</v>
      </c>
      <c r="Y54" s="452" t="str">
        <f t="shared" ca="1" si="14"/>
        <v>Ven. août , 2026</v>
      </c>
      <c r="Z54" s="143">
        <f t="shared" ca="1" si="4"/>
        <v>31</v>
      </c>
      <c r="AA54" s="348">
        <f t="shared" ca="1" si="5"/>
        <v>8</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Ven</v>
      </c>
      <c r="U55" s="186" t="str">
        <f t="shared" ca="1" si="13"/>
        <v>août</v>
      </c>
      <c r="X55" s="347">
        <f t="shared" ca="1" si="17"/>
        <v>46234</v>
      </c>
      <c r="Y55" s="452" t="str">
        <f t="shared" ca="1" si="14"/>
        <v>Ven. août , 2026</v>
      </c>
      <c r="Z55" s="143">
        <f t="shared" ca="1" si="4"/>
        <v>31</v>
      </c>
      <c r="AA55" s="348">
        <f t="shared" ca="1" si="5"/>
        <v>8</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Ven</v>
      </c>
      <c r="U56" s="186" t="str">
        <f t="shared" ca="1" si="13"/>
        <v>août</v>
      </c>
      <c r="X56" s="347">
        <f t="shared" ca="1" si="17"/>
        <v>46234</v>
      </c>
      <c r="Y56" s="452" t="str">
        <f t="shared" ca="1" si="14"/>
        <v>Ven. août , 2026</v>
      </c>
      <c r="Z56" s="143">
        <f t="shared" ca="1" si="4"/>
        <v>31</v>
      </c>
      <c r="AA56" s="348">
        <f t="shared" ca="1" si="5"/>
        <v>8</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Ven</v>
      </c>
      <c r="U57" s="186" t="str">
        <f t="shared" ca="1" si="13"/>
        <v>août</v>
      </c>
      <c r="X57" s="347">
        <f t="shared" ca="1" si="17"/>
        <v>46234</v>
      </c>
      <c r="Y57" s="452" t="str">
        <f t="shared" ca="1" si="14"/>
        <v>Ven. août , 2026</v>
      </c>
      <c r="Z57" s="143">
        <f t="shared" ca="1" si="4"/>
        <v>31</v>
      </c>
      <c r="AA57" s="348">
        <f t="shared" ca="1" si="5"/>
        <v>8</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Ven</v>
      </c>
      <c r="U58" s="186" t="str">
        <f t="shared" ca="1" si="13"/>
        <v>août</v>
      </c>
      <c r="X58" s="347">
        <f t="shared" ca="1" si="17"/>
        <v>46234</v>
      </c>
      <c r="Y58" s="452" t="str">
        <f t="shared" ca="1" si="14"/>
        <v>Ven. août , 2026</v>
      </c>
      <c r="Z58" s="143">
        <f t="shared" ca="1" si="4"/>
        <v>31</v>
      </c>
      <c r="AA58" s="348">
        <f t="shared" ca="1" si="5"/>
        <v>8</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Ven</v>
      </c>
      <c r="U59" s="186" t="str">
        <f t="shared" ca="1" si="13"/>
        <v>août</v>
      </c>
      <c r="X59" s="347">
        <f t="shared" ca="1" si="17"/>
        <v>46234</v>
      </c>
      <c r="Y59" s="452" t="str">
        <f t="shared" ca="1" si="14"/>
        <v>Ven. août , 2026</v>
      </c>
      <c r="Z59" s="143">
        <f t="shared" ca="1" si="4"/>
        <v>31</v>
      </c>
      <c r="AA59" s="348">
        <f t="shared" ca="1" si="5"/>
        <v>8</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Ven</v>
      </c>
      <c r="U60" s="186" t="str">
        <f t="shared" ca="1" si="13"/>
        <v>août</v>
      </c>
      <c r="X60" s="347">
        <f t="shared" ca="1" si="17"/>
        <v>46234</v>
      </c>
      <c r="Y60" s="452" t="str">
        <f t="shared" ca="1" si="14"/>
        <v>Ven. août , 2026</v>
      </c>
      <c r="Z60" s="143">
        <f t="shared" ca="1" si="4"/>
        <v>31</v>
      </c>
      <c r="AA60" s="348">
        <f t="shared" ca="1" si="5"/>
        <v>8</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Ven</v>
      </c>
      <c r="U61" s="186" t="str">
        <f t="shared" ca="1" si="13"/>
        <v>août</v>
      </c>
      <c r="X61" s="347">
        <f t="shared" ca="1" si="17"/>
        <v>46234</v>
      </c>
      <c r="Y61" s="452" t="str">
        <f t="shared" ca="1" si="14"/>
        <v>Ven. août , 2026</v>
      </c>
      <c r="Z61" s="143">
        <f t="shared" ca="1" si="4"/>
        <v>31</v>
      </c>
      <c r="AA61" s="348">
        <f t="shared" ca="1" si="5"/>
        <v>8</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Ven</v>
      </c>
      <c r="U62" s="186" t="str">
        <f t="shared" ca="1" si="13"/>
        <v>août</v>
      </c>
      <c r="X62" s="347">
        <f t="shared" ca="1" si="17"/>
        <v>46234</v>
      </c>
      <c r="Y62" s="452" t="str">
        <f t="shared" ca="1" si="14"/>
        <v>Ven. août , 2026</v>
      </c>
      <c r="Z62" s="143">
        <f t="shared" ca="1" si="4"/>
        <v>31</v>
      </c>
      <c r="AA62" s="348">
        <f t="shared" ca="1" si="5"/>
        <v>8</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Ven</v>
      </c>
      <c r="U63" s="186" t="str">
        <f t="shared" ca="1" si="13"/>
        <v>août</v>
      </c>
      <c r="X63" s="347">
        <f t="shared" ca="1" si="17"/>
        <v>46234</v>
      </c>
      <c r="Y63" s="452" t="str">
        <f t="shared" ca="1" si="14"/>
        <v>Ven. août , 2026</v>
      </c>
      <c r="Z63" s="143">
        <f t="shared" ca="1" si="4"/>
        <v>31</v>
      </c>
      <c r="AA63" s="348">
        <f t="shared" ca="1" si="5"/>
        <v>8</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Ven</v>
      </c>
      <c r="U64" s="186" t="str">
        <f t="shared" ca="1" si="13"/>
        <v>août</v>
      </c>
      <c r="X64" s="347">
        <f t="shared" ca="1" si="17"/>
        <v>46234</v>
      </c>
      <c r="Y64" s="452" t="str">
        <f t="shared" ca="1" si="14"/>
        <v>Ven. août , 2026</v>
      </c>
      <c r="Z64" s="143">
        <f t="shared" ca="1" si="4"/>
        <v>31</v>
      </c>
      <c r="AA64" s="348">
        <f t="shared" ca="1" si="5"/>
        <v>8</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Ven</v>
      </c>
      <c r="U65" s="186" t="str">
        <f t="shared" ca="1" si="13"/>
        <v>août</v>
      </c>
      <c r="X65" s="347">
        <f t="shared" ca="1" si="17"/>
        <v>46234</v>
      </c>
      <c r="Y65" s="452" t="str">
        <f t="shared" ca="1" si="14"/>
        <v>Ven. août , 2026</v>
      </c>
      <c r="Z65" s="143">
        <f t="shared" ca="1" si="4"/>
        <v>31</v>
      </c>
      <c r="AA65" s="348">
        <f t="shared" ca="1" si="5"/>
        <v>8</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Ven</v>
      </c>
      <c r="U66" s="186" t="str">
        <f t="shared" ca="1" si="13"/>
        <v>août</v>
      </c>
      <c r="X66" s="347">
        <f t="shared" ca="1" si="17"/>
        <v>46234</v>
      </c>
      <c r="Y66" s="452" t="str">
        <f t="shared" ca="1" si="14"/>
        <v>Ven. août , 2026</v>
      </c>
      <c r="Z66" s="143">
        <f t="shared" ca="1" si="4"/>
        <v>31</v>
      </c>
      <c r="AA66" s="348">
        <f t="shared" ca="1" si="5"/>
        <v>8</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Ven</v>
      </c>
      <c r="U67" s="186" t="str">
        <f t="shared" ca="1" si="13"/>
        <v>août</v>
      </c>
      <c r="X67" s="347">
        <f t="shared" ca="1" si="17"/>
        <v>46234</v>
      </c>
      <c r="Y67" s="452" t="str">
        <f t="shared" ca="1" si="14"/>
        <v>Ven. août , 2026</v>
      </c>
      <c r="Z67" s="143">
        <f t="shared" ca="1" si="4"/>
        <v>31</v>
      </c>
      <c r="AA67" s="348">
        <f t="shared" ca="1" si="5"/>
        <v>8</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Ven</v>
      </c>
      <c r="U68" s="186" t="str">
        <f t="shared" ca="1" si="13"/>
        <v>août</v>
      </c>
      <c r="X68" s="347">
        <f t="shared" ca="1" si="17"/>
        <v>46234</v>
      </c>
      <c r="Y68" s="452" t="str">
        <f t="shared" ca="1" si="14"/>
        <v>Ven. août , 2026</v>
      </c>
      <c r="Z68" s="143">
        <f t="shared" ca="1" si="4"/>
        <v>31</v>
      </c>
      <c r="AA68" s="348">
        <f t="shared" ca="1" si="5"/>
        <v>8</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Ven</v>
      </c>
      <c r="U69" s="186" t="str">
        <f t="shared" ca="1" si="13"/>
        <v>août</v>
      </c>
      <c r="X69" s="347">
        <f t="shared" ca="1" si="17"/>
        <v>46234</v>
      </c>
      <c r="Y69" s="452" t="str">
        <f t="shared" ca="1" si="14"/>
        <v>Ven. août , 2026</v>
      </c>
      <c r="Z69" s="143">
        <f t="shared" ca="1" si="4"/>
        <v>31</v>
      </c>
      <c r="AA69" s="348">
        <f t="shared" ca="1" si="5"/>
        <v>8</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Ven</v>
      </c>
      <c r="U70" s="186" t="str">
        <f t="shared" ca="1" si="13"/>
        <v>août</v>
      </c>
      <c r="X70" s="347">
        <f t="shared" ca="1" si="17"/>
        <v>46234</v>
      </c>
      <c r="Y70" s="452" t="str">
        <f t="shared" ca="1" si="14"/>
        <v>Ven. août , 2026</v>
      </c>
      <c r="Z70" s="143">
        <f t="shared" ca="1" si="4"/>
        <v>31</v>
      </c>
      <c r="AA70" s="348">
        <f t="shared" ca="1" si="5"/>
        <v>8</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Ven</v>
      </c>
      <c r="U71" s="186" t="str">
        <f t="shared" ca="1" si="13"/>
        <v>août</v>
      </c>
      <c r="X71" s="347">
        <f t="shared" ca="1" si="17"/>
        <v>46234</v>
      </c>
      <c r="Y71" s="452" t="str">
        <f t="shared" ca="1" si="14"/>
        <v>Ven. août , 2026</v>
      </c>
      <c r="Z71" s="143">
        <f t="shared" ca="1" si="4"/>
        <v>31</v>
      </c>
      <c r="AA71" s="348">
        <f t="shared" ca="1" si="5"/>
        <v>8</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Ven</v>
      </c>
      <c r="U72" s="186" t="str">
        <f t="shared" ca="1" si="13"/>
        <v>août</v>
      </c>
      <c r="X72" s="347">
        <f t="shared" ca="1" si="17"/>
        <v>46234</v>
      </c>
      <c r="Y72" s="452" t="str">
        <f t="shared" ca="1" si="14"/>
        <v>Ven. août , 2026</v>
      </c>
      <c r="Z72" s="143">
        <f t="shared" ca="1" si="4"/>
        <v>31</v>
      </c>
      <c r="AA72" s="348">
        <f t="shared" ca="1" si="5"/>
        <v>8</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Ven</v>
      </c>
      <c r="U73" s="186" t="str">
        <f t="shared" ca="1" si="13"/>
        <v>août</v>
      </c>
      <c r="X73" s="347">
        <f t="shared" ca="1" si="17"/>
        <v>46234</v>
      </c>
      <c r="Y73" s="452" t="str">
        <f t="shared" ca="1" si="14"/>
        <v>Ven. août , 2026</v>
      </c>
      <c r="Z73" s="143">
        <f t="shared" ca="1" si="4"/>
        <v>31</v>
      </c>
      <c r="AA73" s="348">
        <f t="shared" ca="1" si="5"/>
        <v>8</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Ven</v>
      </c>
      <c r="U74" s="186" t="str">
        <f t="shared" ca="1" si="13"/>
        <v>août</v>
      </c>
      <c r="X74" s="347">
        <f t="shared" ca="1" si="17"/>
        <v>46234</v>
      </c>
      <c r="Y74" s="452" t="str">
        <f t="shared" ca="1" si="14"/>
        <v>Ven. août , 2026</v>
      </c>
      <c r="Z74" s="143">
        <f t="shared" ca="1" si="4"/>
        <v>31</v>
      </c>
      <c r="AA74" s="348">
        <f t="shared" ca="1" si="5"/>
        <v>8</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Ven</v>
      </c>
      <c r="U75" s="186" t="str">
        <f t="shared" ca="1" si="13"/>
        <v>août</v>
      </c>
      <c r="X75" s="347">
        <f t="shared" ca="1" si="17"/>
        <v>46234</v>
      </c>
      <c r="Y75" s="452" t="str">
        <f t="shared" ca="1" si="14"/>
        <v>Ven. août , 2026</v>
      </c>
      <c r="Z75" s="143">
        <f t="shared" ca="1" si="4"/>
        <v>31</v>
      </c>
      <c r="AA75" s="348">
        <f t="shared" ca="1" si="5"/>
        <v>8</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Ven</v>
      </c>
      <c r="U76" s="186" t="str">
        <f t="shared" ca="1" si="13"/>
        <v>août</v>
      </c>
      <c r="X76" s="347">
        <f t="shared" ca="1" si="17"/>
        <v>46234</v>
      </c>
      <c r="Y76" s="452" t="str">
        <f t="shared" ca="1" si="14"/>
        <v>Ven. août , 2026</v>
      </c>
      <c r="Z76" s="143">
        <f t="shared" ca="1" si="4"/>
        <v>31</v>
      </c>
      <c r="AA76" s="348">
        <f t="shared" ca="1" si="5"/>
        <v>8</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Ven</v>
      </c>
      <c r="U77" s="186" t="str">
        <f t="shared" ca="1" si="13"/>
        <v>août</v>
      </c>
      <c r="X77" s="347">
        <f t="shared" ca="1" si="17"/>
        <v>46234</v>
      </c>
      <c r="Y77" s="452" t="str">
        <f t="shared" ca="1" si="14"/>
        <v>Ven. août , 2026</v>
      </c>
      <c r="Z77" s="143">
        <f t="shared" ca="1" si="4"/>
        <v>31</v>
      </c>
      <c r="AA77" s="348">
        <f t="shared" ca="1" si="5"/>
        <v>8</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Ven</v>
      </c>
      <c r="U78" s="186" t="str">
        <f t="shared" ca="1" si="13"/>
        <v>août</v>
      </c>
      <c r="X78" s="347">
        <f t="shared" ca="1" si="17"/>
        <v>46234</v>
      </c>
      <c r="Y78" s="452" t="str">
        <f t="shared" ca="1" si="14"/>
        <v>Ven. août , 2026</v>
      </c>
      <c r="Z78" s="143">
        <f t="shared" ca="1" si="4"/>
        <v>31</v>
      </c>
      <c r="AA78" s="348">
        <f t="shared" ca="1" si="5"/>
        <v>8</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Ven</v>
      </c>
      <c r="U79" s="186" t="str">
        <f t="shared" ca="1" si="13"/>
        <v>août</v>
      </c>
      <c r="X79" s="347">
        <f t="shared" ca="1" si="17"/>
        <v>46234</v>
      </c>
      <c r="Y79" s="452" t="str">
        <f t="shared" ca="1" si="14"/>
        <v>Ven. août , 2026</v>
      </c>
      <c r="Z79" s="143">
        <f t="shared" ca="1" si="4"/>
        <v>31</v>
      </c>
      <c r="AA79" s="348">
        <f t="shared" ca="1" si="5"/>
        <v>8</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Ven</v>
      </c>
      <c r="U80" s="186" t="str">
        <f t="shared" ca="1" si="13"/>
        <v>août</v>
      </c>
      <c r="X80" s="347">
        <f t="shared" ca="1" si="17"/>
        <v>46234</v>
      </c>
      <c r="Y80" s="452" t="str">
        <f t="shared" ca="1" si="14"/>
        <v>Ven. août , 2026</v>
      </c>
      <c r="Z80" s="143">
        <f t="shared" ca="1" si="4"/>
        <v>31</v>
      </c>
      <c r="AA80" s="348">
        <f t="shared" ca="1" si="5"/>
        <v>8</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Ven</v>
      </c>
      <c r="U81" s="186" t="str">
        <f t="shared" ca="1" si="13"/>
        <v>août</v>
      </c>
      <c r="X81" s="347">
        <f t="shared" ca="1" si="17"/>
        <v>46234</v>
      </c>
      <c r="Y81" s="452" t="str">
        <f t="shared" ca="1" si="14"/>
        <v>Ven. août , 2026</v>
      </c>
      <c r="Z81" s="143">
        <f t="shared" ca="1" si="4"/>
        <v>31</v>
      </c>
      <c r="AA81" s="348">
        <f t="shared" ca="1" si="5"/>
        <v>8</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Ven</v>
      </c>
      <c r="U82" s="186" t="str">
        <f t="shared" ca="1" si="13"/>
        <v>août</v>
      </c>
      <c r="X82" s="347">
        <f t="shared" ca="1" si="17"/>
        <v>46234</v>
      </c>
      <c r="Y82" s="452" t="str">
        <f t="shared" ca="1" si="14"/>
        <v>Ven. août , 2026</v>
      </c>
      <c r="Z82" s="143">
        <f t="shared" ca="1" si="4"/>
        <v>31</v>
      </c>
      <c r="AA82" s="348">
        <f t="shared" ca="1" si="5"/>
        <v>8</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Ven</v>
      </c>
      <c r="U83" s="186" t="str">
        <f t="shared" ca="1" si="13"/>
        <v>août</v>
      </c>
      <c r="X83" s="347">
        <f t="shared" ca="1" si="17"/>
        <v>46234</v>
      </c>
      <c r="Y83" s="452" t="str">
        <f t="shared" ca="1" si="14"/>
        <v>Ven. août , 2026</v>
      </c>
      <c r="Z83" s="143">
        <f t="shared" ca="1" si="4"/>
        <v>31</v>
      </c>
      <c r="AA83" s="348">
        <f t="shared" ca="1" si="5"/>
        <v>8</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Ven</v>
      </c>
      <c r="U84" s="186" t="str">
        <f t="shared" ca="1" si="13"/>
        <v>août</v>
      </c>
      <c r="X84" s="347">
        <f t="shared" ca="1" si="17"/>
        <v>46234</v>
      </c>
      <c r="Y84" s="452" t="str">
        <f t="shared" ca="1" si="14"/>
        <v>Ven. août , 2026</v>
      </c>
      <c r="Z84" s="143">
        <f t="shared" ref="Z84:Z147" ca="1" si="24">MIN(R84,$AF$5)</f>
        <v>31</v>
      </c>
      <c r="AA84" s="348">
        <f t="shared" ref="AA84:AA147" ca="1" si="25">$AD$6</f>
        <v>8</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Ven</v>
      </c>
      <c r="U85" s="186" t="str">
        <f t="shared" ref="U85:U148" ca="1" si="32">$U$19</f>
        <v>août</v>
      </c>
      <c r="X85" s="347">
        <f t="shared" ca="1" si="17"/>
        <v>46234</v>
      </c>
      <c r="Y85" s="452" t="str">
        <f t="shared" ref="Y85:Y148" ca="1" si="33">IF(Y79="f",T85&amp;". "&amp;" "&amp;R85&amp;" "&amp;U85&amp;" "&amp;$AE$7,T85&amp;". "&amp;U85&amp;" "&amp;R85&amp;", "&amp;$AE$7)</f>
        <v>Ven. août , 2026</v>
      </c>
      <c r="Z85" s="143">
        <f t="shared" ca="1" si="24"/>
        <v>31</v>
      </c>
      <c r="AA85" s="348">
        <f t="shared" ca="1" si="25"/>
        <v>8</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Ven</v>
      </c>
      <c r="U86" s="186" t="str">
        <f t="shared" ca="1" si="32"/>
        <v>août</v>
      </c>
      <c r="X86" s="347">
        <f t="shared" ref="X86:X149" ca="1" si="36">$AE$8+D86</f>
        <v>46234</v>
      </c>
      <c r="Y86" s="452" t="str">
        <f t="shared" ca="1" si="33"/>
        <v>Ven. août , 2026</v>
      </c>
      <c r="Z86" s="143">
        <f t="shared" ca="1" si="24"/>
        <v>31</v>
      </c>
      <c r="AA86" s="348">
        <f t="shared" ca="1" si="25"/>
        <v>8</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Ven</v>
      </c>
      <c r="U87" s="186" t="str">
        <f t="shared" ca="1" si="32"/>
        <v>août</v>
      </c>
      <c r="X87" s="347">
        <f t="shared" ca="1" si="36"/>
        <v>46234</v>
      </c>
      <c r="Y87" s="452" t="str">
        <f t="shared" ca="1" si="33"/>
        <v>Ven. août , 2026</v>
      </c>
      <c r="Z87" s="143">
        <f t="shared" ca="1" si="24"/>
        <v>31</v>
      </c>
      <c r="AA87" s="348">
        <f t="shared" ca="1" si="25"/>
        <v>8</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Ven</v>
      </c>
      <c r="U88" s="186" t="str">
        <f t="shared" ca="1" si="32"/>
        <v>août</v>
      </c>
      <c r="X88" s="347">
        <f t="shared" ca="1" si="36"/>
        <v>46234</v>
      </c>
      <c r="Y88" s="452" t="str">
        <f t="shared" ca="1" si="33"/>
        <v>Ven. août , 2026</v>
      </c>
      <c r="Z88" s="143">
        <f t="shared" ca="1" si="24"/>
        <v>31</v>
      </c>
      <c r="AA88" s="348">
        <f t="shared" ca="1" si="25"/>
        <v>8</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Ven</v>
      </c>
      <c r="U89" s="186" t="str">
        <f t="shared" ca="1" si="32"/>
        <v>août</v>
      </c>
      <c r="X89" s="347">
        <f t="shared" ca="1" si="36"/>
        <v>46234</v>
      </c>
      <c r="Y89" s="452" t="str">
        <f t="shared" ca="1" si="33"/>
        <v>Ven. août , 2026</v>
      </c>
      <c r="Z89" s="143">
        <f t="shared" ca="1" si="24"/>
        <v>31</v>
      </c>
      <c r="AA89" s="348">
        <f t="shared" ca="1" si="25"/>
        <v>8</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Ven</v>
      </c>
      <c r="U90" s="186" t="str">
        <f t="shared" ca="1" si="32"/>
        <v>août</v>
      </c>
      <c r="X90" s="347">
        <f t="shared" ca="1" si="36"/>
        <v>46234</v>
      </c>
      <c r="Y90" s="452" t="str">
        <f t="shared" ca="1" si="33"/>
        <v>Ven. août , 2026</v>
      </c>
      <c r="Z90" s="143">
        <f t="shared" ca="1" si="24"/>
        <v>31</v>
      </c>
      <c r="AA90" s="348">
        <f t="shared" ca="1" si="25"/>
        <v>8</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Ven</v>
      </c>
      <c r="U91" s="186" t="str">
        <f t="shared" ca="1" si="32"/>
        <v>août</v>
      </c>
      <c r="X91" s="347">
        <f t="shared" ca="1" si="36"/>
        <v>46234</v>
      </c>
      <c r="Y91" s="452" t="str">
        <f t="shared" ca="1" si="33"/>
        <v>Ven. août , 2026</v>
      </c>
      <c r="Z91" s="143">
        <f t="shared" ca="1" si="24"/>
        <v>31</v>
      </c>
      <c r="AA91" s="348">
        <f t="shared" ca="1" si="25"/>
        <v>8</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Ven</v>
      </c>
      <c r="U92" s="186" t="str">
        <f t="shared" ca="1" si="32"/>
        <v>août</v>
      </c>
      <c r="X92" s="347">
        <f t="shared" ca="1" si="36"/>
        <v>46234</v>
      </c>
      <c r="Y92" s="452" t="str">
        <f t="shared" ca="1" si="33"/>
        <v>Ven. août , 2026</v>
      </c>
      <c r="Z92" s="143">
        <f t="shared" ca="1" si="24"/>
        <v>31</v>
      </c>
      <c r="AA92" s="348">
        <f t="shared" ca="1" si="25"/>
        <v>8</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Ven</v>
      </c>
      <c r="U93" s="186" t="str">
        <f t="shared" ca="1" si="32"/>
        <v>août</v>
      </c>
      <c r="X93" s="347">
        <f t="shared" ca="1" si="36"/>
        <v>46234</v>
      </c>
      <c r="Y93" s="452" t="str">
        <f t="shared" ca="1" si="33"/>
        <v>Ven. août , 2026</v>
      </c>
      <c r="Z93" s="143">
        <f t="shared" ca="1" si="24"/>
        <v>31</v>
      </c>
      <c r="AA93" s="348">
        <f t="shared" ca="1" si="25"/>
        <v>8</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Ven</v>
      </c>
      <c r="U94" s="186" t="str">
        <f t="shared" ca="1" si="32"/>
        <v>août</v>
      </c>
      <c r="X94" s="347">
        <f t="shared" ca="1" si="36"/>
        <v>46234</v>
      </c>
      <c r="Y94" s="452" t="str">
        <f t="shared" ca="1" si="33"/>
        <v>Ven. août , 2026</v>
      </c>
      <c r="Z94" s="143">
        <f t="shared" ca="1" si="24"/>
        <v>31</v>
      </c>
      <c r="AA94" s="348">
        <f t="shared" ca="1" si="25"/>
        <v>8</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Ven</v>
      </c>
      <c r="U95" s="186" t="str">
        <f t="shared" ca="1" si="32"/>
        <v>août</v>
      </c>
      <c r="X95" s="347">
        <f t="shared" ca="1" si="36"/>
        <v>46234</v>
      </c>
      <c r="Y95" s="452" t="str">
        <f t="shared" ca="1" si="33"/>
        <v>Ven. août , 2026</v>
      </c>
      <c r="Z95" s="143">
        <f t="shared" ca="1" si="24"/>
        <v>31</v>
      </c>
      <c r="AA95" s="348">
        <f t="shared" ca="1" si="25"/>
        <v>8</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Ven</v>
      </c>
      <c r="U96" s="186" t="str">
        <f t="shared" ca="1" si="32"/>
        <v>août</v>
      </c>
      <c r="X96" s="347">
        <f t="shared" ca="1" si="36"/>
        <v>46234</v>
      </c>
      <c r="Y96" s="452" t="str">
        <f t="shared" ca="1" si="33"/>
        <v>Ven. août , 2026</v>
      </c>
      <c r="Z96" s="143">
        <f t="shared" ca="1" si="24"/>
        <v>31</v>
      </c>
      <c r="AA96" s="348">
        <f t="shared" ca="1" si="25"/>
        <v>8</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Ven</v>
      </c>
      <c r="U97" s="186" t="str">
        <f t="shared" ca="1" si="32"/>
        <v>août</v>
      </c>
      <c r="X97" s="347">
        <f t="shared" ca="1" si="36"/>
        <v>46234</v>
      </c>
      <c r="Y97" s="452" t="str">
        <f t="shared" ca="1" si="33"/>
        <v>Ven. août , 2026</v>
      </c>
      <c r="Z97" s="143">
        <f t="shared" ca="1" si="24"/>
        <v>31</v>
      </c>
      <c r="AA97" s="348">
        <f t="shared" ca="1" si="25"/>
        <v>8</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Ven</v>
      </c>
      <c r="U98" s="186" t="str">
        <f t="shared" ca="1" si="32"/>
        <v>août</v>
      </c>
      <c r="X98" s="347">
        <f t="shared" ca="1" si="36"/>
        <v>46234</v>
      </c>
      <c r="Y98" s="452" t="str">
        <f t="shared" ca="1" si="33"/>
        <v>Ven. août , 2026</v>
      </c>
      <c r="Z98" s="143">
        <f t="shared" ca="1" si="24"/>
        <v>31</v>
      </c>
      <c r="AA98" s="348">
        <f t="shared" ca="1" si="25"/>
        <v>8</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Ven</v>
      </c>
      <c r="U99" s="186" t="str">
        <f t="shared" ca="1" si="32"/>
        <v>août</v>
      </c>
      <c r="X99" s="347">
        <f t="shared" ca="1" si="36"/>
        <v>46234</v>
      </c>
      <c r="Y99" s="452" t="str">
        <f t="shared" ca="1" si="33"/>
        <v>Ven. août , 2026</v>
      </c>
      <c r="Z99" s="143">
        <f t="shared" ca="1" si="24"/>
        <v>31</v>
      </c>
      <c r="AA99" s="348">
        <f t="shared" ca="1" si="25"/>
        <v>8</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Ven</v>
      </c>
      <c r="U100" s="186" t="str">
        <f t="shared" ca="1" si="32"/>
        <v>août</v>
      </c>
      <c r="X100" s="347">
        <f t="shared" ca="1" si="36"/>
        <v>46234</v>
      </c>
      <c r="Y100" s="452" t="str">
        <f t="shared" ca="1" si="33"/>
        <v>Ven. août , 2026</v>
      </c>
      <c r="Z100" s="143">
        <f t="shared" ca="1" si="24"/>
        <v>31</v>
      </c>
      <c r="AA100" s="348">
        <f t="shared" ca="1" si="25"/>
        <v>8</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Ven</v>
      </c>
      <c r="U101" s="186" t="str">
        <f t="shared" ca="1" si="32"/>
        <v>août</v>
      </c>
      <c r="X101" s="347">
        <f t="shared" ca="1" si="36"/>
        <v>46234</v>
      </c>
      <c r="Y101" s="452" t="str">
        <f t="shared" ca="1" si="33"/>
        <v>Ven. août , 2026</v>
      </c>
      <c r="Z101" s="143">
        <f t="shared" ca="1" si="24"/>
        <v>31</v>
      </c>
      <c r="AA101" s="348">
        <f t="shared" ca="1" si="25"/>
        <v>8</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Ven</v>
      </c>
      <c r="U102" s="186" t="str">
        <f t="shared" ca="1" si="32"/>
        <v>août</v>
      </c>
      <c r="X102" s="347">
        <f t="shared" ca="1" si="36"/>
        <v>46234</v>
      </c>
      <c r="Y102" s="452" t="str">
        <f t="shared" ca="1" si="33"/>
        <v>Ven. août , 2026</v>
      </c>
      <c r="Z102" s="143">
        <f t="shared" ca="1" si="24"/>
        <v>31</v>
      </c>
      <c r="AA102" s="348">
        <f t="shared" ca="1" si="25"/>
        <v>8</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Ven</v>
      </c>
      <c r="U103" s="186" t="str">
        <f t="shared" ca="1" si="32"/>
        <v>août</v>
      </c>
      <c r="X103" s="347">
        <f t="shared" ca="1" si="36"/>
        <v>46234</v>
      </c>
      <c r="Y103" s="452" t="str">
        <f t="shared" ca="1" si="33"/>
        <v>Ven. août , 2026</v>
      </c>
      <c r="Z103" s="143">
        <f t="shared" ca="1" si="24"/>
        <v>31</v>
      </c>
      <c r="AA103" s="348">
        <f t="shared" ca="1" si="25"/>
        <v>8</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Ven</v>
      </c>
      <c r="U104" s="186" t="str">
        <f t="shared" ca="1" si="32"/>
        <v>août</v>
      </c>
      <c r="X104" s="347">
        <f t="shared" ca="1" si="36"/>
        <v>46234</v>
      </c>
      <c r="Y104" s="452" t="str">
        <f t="shared" ca="1" si="33"/>
        <v>Ven. août , 2026</v>
      </c>
      <c r="Z104" s="143">
        <f t="shared" ca="1" si="24"/>
        <v>31</v>
      </c>
      <c r="AA104" s="348">
        <f t="shared" ca="1" si="25"/>
        <v>8</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Ven</v>
      </c>
      <c r="U105" s="186" t="str">
        <f t="shared" ca="1" si="32"/>
        <v>août</v>
      </c>
      <c r="X105" s="347">
        <f t="shared" ca="1" si="36"/>
        <v>46234</v>
      </c>
      <c r="Y105" s="452" t="str">
        <f t="shared" ca="1" si="33"/>
        <v>Ven. août , 2026</v>
      </c>
      <c r="Z105" s="143">
        <f t="shared" ca="1" si="24"/>
        <v>31</v>
      </c>
      <c r="AA105" s="348">
        <f t="shared" ca="1" si="25"/>
        <v>8</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Ven</v>
      </c>
      <c r="U106" s="186" t="str">
        <f t="shared" ca="1" si="32"/>
        <v>août</v>
      </c>
      <c r="X106" s="347">
        <f t="shared" ca="1" si="36"/>
        <v>46234</v>
      </c>
      <c r="Y106" s="452" t="str">
        <f t="shared" ca="1" si="33"/>
        <v>Ven. août , 2026</v>
      </c>
      <c r="Z106" s="143">
        <f t="shared" ca="1" si="24"/>
        <v>31</v>
      </c>
      <c r="AA106" s="348">
        <f t="shared" ca="1" si="25"/>
        <v>8</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Ven</v>
      </c>
      <c r="U107" s="186" t="str">
        <f t="shared" ca="1" si="32"/>
        <v>août</v>
      </c>
      <c r="X107" s="347">
        <f t="shared" ca="1" si="36"/>
        <v>46234</v>
      </c>
      <c r="Y107" s="452" t="str">
        <f t="shared" ca="1" si="33"/>
        <v>Ven. août , 2026</v>
      </c>
      <c r="Z107" s="143">
        <f t="shared" ca="1" si="24"/>
        <v>31</v>
      </c>
      <c r="AA107" s="348">
        <f t="shared" ca="1" si="25"/>
        <v>8</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Ven</v>
      </c>
      <c r="U108" s="186" t="str">
        <f t="shared" ca="1" si="32"/>
        <v>août</v>
      </c>
      <c r="X108" s="347">
        <f t="shared" ca="1" si="36"/>
        <v>46234</v>
      </c>
      <c r="Y108" s="452" t="str">
        <f t="shared" ca="1" si="33"/>
        <v>Ven. août , 2026</v>
      </c>
      <c r="Z108" s="143">
        <f t="shared" ca="1" si="24"/>
        <v>31</v>
      </c>
      <c r="AA108" s="348">
        <f t="shared" ca="1" si="25"/>
        <v>8</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Ven</v>
      </c>
      <c r="U109" s="186" t="str">
        <f t="shared" ca="1" si="32"/>
        <v>août</v>
      </c>
      <c r="X109" s="347">
        <f t="shared" ca="1" si="36"/>
        <v>46234</v>
      </c>
      <c r="Y109" s="452" t="str">
        <f t="shared" ca="1" si="33"/>
        <v>Ven. août , 2026</v>
      </c>
      <c r="Z109" s="143">
        <f t="shared" ca="1" si="24"/>
        <v>31</v>
      </c>
      <c r="AA109" s="348">
        <f t="shared" ca="1" si="25"/>
        <v>8</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Ven</v>
      </c>
      <c r="U110" s="186" t="str">
        <f t="shared" ca="1" si="32"/>
        <v>août</v>
      </c>
      <c r="X110" s="347">
        <f t="shared" ca="1" si="36"/>
        <v>46234</v>
      </c>
      <c r="Y110" s="452" t="str">
        <f t="shared" ca="1" si="33"/>
        <v>Ven. août , 2026</v>
      </c>
      <c r="Z110" s="143">
        <f t="shared" ca="1" si="24"/>
        <v>31</v>
      </c>
      <c r="AA110" s="348">
        <f t="shared" ca="1" si="25"/>
        <v>8</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Ven</v>
      </c>
      <c r="U111" s="186" t="str">
        <f t="shared" ca="1" si="32"/>
        <v>août</v>
      </c>
      <c r="X111" s="347">
        <f t="shared" ca="1" si="36"/>
        <v>46234</v>
      </c>
      <c r="Y111" s="452" t="str">
        <f t="shared" ca="1" si="33"/>
        <v>Ven. août , 2026</v>
      </c>
      <c r="Z111" s="143">
        <f t="shared" ca="1" si="24"/>
        <v>31</v>
      </c>
      <c r="AA111" s="348">
        <f t="shared" ca="1" si="25"/>
        <v>8</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Ven</v>
      </c>
      <c r="U112" s="186" t="str">
        <f t="shared" ca="1" si="32"/>
        <v>août</v>
      </c>
      <c r="X112" s="347">
        <f t="shared" ca="1" si="36"/>
        <v>46234</v>
      </c>
      <c r="Y112" s="452" t="str">
        <f t="shared" ca="1" si="33"/>
        <v>Ven. août , 2026</v>
      </c>
      <c r="Z112" s="143">
        <f t="shared" ca="1" si="24"/>
        <v>31</v>
      </c>
      <c r="AA112" s="348">
        <f t="shared" ca="1" si="25"/>
        <v>8</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Ven</v>
      </c>
      <c r="U113" s="186" t="str">
        <f t="shared" ca="1" si="32"/>
        <v>août</v>
      </c>
      <c r="X113" s="347">
        <f t="shared" ca="1" si="36"/>
        <v>46234</v>
      </c>
      <c r="Y113" s="452" t="str">
        <f t="shared" ca="1" si="33"/>
        <v>Ven. août , 2026</v>
      </c>
      <c r="Z113" s="143">
        <f t="shared" ca="1" si="24"/>
        <v>31</v>
      </c>
      <c r="AA113" s="348">
        <f t="shared" ca="1" si="25"/>
        <v>8</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Ven</v>
      </c>
      <c r="U114" s="186" t="str">
        <f t="shared" ca="1" si="32"/>
        <v>août</v>
      </c>
      <c r="X114" s="347">
        <f t="shared" ca="1" si="36"/>
        <v>46234</v>
      </c>
      <c r="Y114" s="452" t="str">
        <f t="shared" ca="1" si="33"/>
        <v>Ven. août , 2026</v>
      </c>
      <c r="Z114" s="143">
        <f t="shared" ca="1" si="24"/>
        <v>31</v>
      </c>
      <c r="AA114" s="348">
        <f t="shared" ca="1" si="25"/>
        <v>8</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Ven</v>
      </c>
      <c r="U115" s="186" t="str">
        <f t="shared" ca="1" si="32"/>
        <v>août</v>
      </c>
      <c r="X115" s="347">
        <f t="shared" ca="1" si="36"/>
        <v>46234</v>
      </c>
      <c r="Y115" s="452" t="str">
        <f t="shared" ca="1" si="33"/>
        <v>Ven. août , 2026</v>
      </c>
      <c r="Z115" s="143">
        <f t="shared" ca="1" si="24"/>
        <v>31</v>
      </c>
      <c r="AA115" s="348">
        <f t="shared" ca="1" si="25"/>
        <v>8</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Ven</v>
      </c>
      <c r="U116" s="186" t="str">
        <f t="shared" ca="1" si="32"/>
        <v>août</v>
      </c>
      <c r="X116" s="347">
        <f t="shared" ca="1" si="36"/>
        <v>46234</v>
      </c>
      <c r="Y116" s="452" t="str">
        <f t="shared" ca="1" si="33"/>
        <v>Ven. août , 2026</v>
      </c>
      <c r="Z116" s="143">
        <f t="shared" ca="1" si="24"/>
        <v>31</v>
      </c>
      <c r="AA116" s="348">
        <f t="shared" ca="1" si="25"/>
        <v>8</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Ven</v>
      </c>
      <c r="U117" s="186" t="str">
        <f t="shared" ca="1" si="32"/>
        <v>août</v>
      </c>
      <c r="X117" s="347">
        <f t="shared" ca="1" si="36"/>
        <v>46234</v>
      </c>
      <c r="Y117" s="452" t="str">
        <f t="shared" ca="1" si="33"/>
        <v>Ven. août , 2026</v>
      </c>
      <c r="Z117" s="143">
        <f t="shared" ca="1" si="24"/>
        <v>31</v>
      </c>
      <c r="AA117" s="348">
        <f t="shared" ca="1" si="25"/>
        <v>8</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Ven</v>
      </c>
      <c r="U118" s="186" t="str">
        <f t="shared" ca="1" si="32"/>
        <v>août</v>
      </c>
      <c r="X118" s="347">
        <f t="shared" ca="1" si="36"/>
        <v>46234</v>
      </c>
      <c r="Y118" s="452" t="str">
        <f t="shared" ca="1" si="33"/>
        <v>Ven. août , 2026</v>
      </c>
      <c r="Z118" s="143">
        <f t="shared" ca="1" si="24"/>
        <v>31</v>
      </c>
      <c r="AA118" s="348">
        <f t="shared" ca="1" si="25"/>
        <v>8</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Ven</v>
      </c>
      <c r="U119" s="186" t="str">
        <f t="shared" ca="1" si="32"/>
        <v>août</v>
      </c>
      <c r="X119" s="347">
        <f t="shared" ca="1" si="36"/>
        <v>46234</v>
      </c>
      <c r="Y119" s="452" t="str">
        <f t="shared" ca="1" si="33"/>
        <v>Ven. août , 2026</v>
      </c>
      <c r="Z119" s="143">
        <f t="shared" ca="1" si="24"/>
        <v>31</v>
      </c>
      <c r="AA119" s="348">
        <f t="shared" ca="1" si="25"/>
        <v>8</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Ven</v>
      </c>
      <c r="U120" s="186" t="str">
        <f t="shared" ca="1" si="32"/>
        <v>août</v>
      </c>
      <c r="X120" s="347">
        <f t="shared" ca="1" si="36"/>
        <v>46234</v>
      </c>
      <c r="Y120" s="452" t="str">
        <f t="shared" ca="1" si="33"/>
        <v>Ven. août , 2026</v>
      </c>
      <c r="Z120" s="143">
        <f t="shared" ca="1" si="24"/>
        <v>31</v>
      </c>
      <c r="AA120" s="348">
        <f t="shared" ca="1" si="25"/>
        <v>8</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Ven</v>
      </c>
      <c r="U121" s="186" t="str">
        <f t="shared" ca="1" si="32"/>
        <v>août</v>
      </c>
      <c r="X121" s="347">
        <f t="shared" ca="1" si="36"/>
        <v>46234</v>
      </c>
      <c r="Y121" s="452" t="str">
        <f t="shared" ca="1" si="33"/>
        <v>Ven. août , 2026</v>
      </c>
      <c r="Z121" s="143">
        <f t="shared" ca="1" si="24"/>
        <v>31</v>
      </c>
      <c r="AA121" s="348">
        <f t="shared" ca="1" si="25"/>
        <v>8</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Ven</v>
      </c>
      <c r="U122" s="186" t="str">
        <f t="shared" ca="1" si="32"/>
        <v>août</v>
      </c>
      <c r="X122" s="347">
        <f t="shared" ca="1" si="36"/>
        <v>46234</v>
      </c>
      <c r="Y122" s="452" t="str">
        <f t="shared" ca="1" si="33"/>
        <v>Ven. août , 2026</v>
      </c>
      <c r="Z122" s="143">
        <f t="shared" ca="1" si="24"/>
        <v>31</v>
      </c>
      <c r="AA122" s="348">
        <f t="shared" ca="1" si="25"/>
        <v>8</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Ven</v>
      </c>
      <c r="U123" s="186" t="str">
        <f t="shared" ca="1" si="32"/>
        <v>août</v>
      </c>
      <c r="X123" s="347">
        <f t="shared" ca="1" si="36"/>
        <v>46234</v>
      </c>
      <c r="Y123" s="452" t="str">
        <f t="shared" ca="1" si="33"/>
        <v>Ven. août , 2026</v>
      </c>
      <c r="Z123" s="143">
        <f t="shared" ca="1" si="24"/>
        <v>31</v>
      </c>
      <c r="AA123" s="348">
        <f t="shared" ca="1" si="25"/>
        <v>8</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Ven</v>
      </c>
      <c r="U124" s="186" t="str">
        <f t="shared" ca="1" si="32"/>
        <v>août</v>
      </c>
      <c r="X124" s="347">
        <f t="shared" ca="1" si="36"/>
        <v>46234</v>
      </c>
      <c r="Y124" s="452" t="str">
        <f t="shared" ca="1" si="33"/>
        <v>Ven. août , 2026</v>
      </c>
      <c r="Z124" s="143">
        <f t="shared" ca="1" si="24"/>
        <v>31</v>
      </c>
      <c r="AA124" s="348">
        <f t="shared" ca="1" si="25"/>
        <v>8</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Ven</v>
      </c>
      <c r="U125" s="186" t="str">
        <f t="shared" ca="1" si="32"/>
        <v>août</v>
      </c>
      <c r="X125" s="347">
        <f t="shared" ca="1" si="36"/>
        <v>46234</v>
      </c>
      <c r="Y125" s="452" t="str">
        <f t="shared" ca="1" si="33"/>
        <v>Ven. août , 2026</v>
      </c>
      <c r="Z125" s="143">
        <f t="shared" ca="1" si="24"/>
        <v>31</v>
      </c>
      <c r="AA125" s="348">
        <f t="shared" ca="1" si="25"/>
        <v>8</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Ven</v>
      </c>
      <c r="U126" s="186" t="str">
        <f t="shared" ca="1" si="32"/>
        <v>août</v>
      </c>
      <c r="X126" s="347">
        <f t="shared" ca="1" si="36"/>
        <v>46234</v>
      </c>
      <c r="Y126" s="452" t="str">
        <f t="shared" ca="1" si="33"/>
        <v>Ven. août , 2026</v>
      </c>
      <c r="Z126" s="143">
        <f t="shared" ca="1" si="24"/>
        <v>31</v>
      </c>
      <c r="AA126" s="348">
        <f t="shared" ca="1" si="25"/>
        <v>8</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Ven</v>
      </c>
      <c r="U127" s="186" t="str">
        <f t="shared" ca="1" si="32"/>
        <v>août</v>
      </c>
      <c r="X127" s="347">
        <f t="shared" ca="1" si="36"/>
        <v>46234</v>
      </c>
      <c r="Y127" s="452" t="str">
        <f t="shared" ca="1" si="33"/>
        <v>Ven. août , 2026</v>
      </c>
      <c r="Z127" s="143">
        <f t="shared" ca="1" si="24"/>
        <v>31</v>
      </c>
      <c r="AA127" s="348">
        <f t="shared" ca="1" si="25"/>
        <v>8</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Ven</v>
      </c>
      <c r="U128" s="186" t="str">
        <f t="shared" ca="1" si="32"/>
        <v>août</v>
      </c>
      <c r="X128" s="347">
        <f t="shared" ca="1" si="36"/>
        <v>46234</v>
      </c>
      <c r="Y128" s="452" t="str">
        <f t="shared" ca="1" si="33"/>
        <v>Ven. août , 2026</v>
      </c>
      <c r="Z128" s="143">
        <f t="shared" ca="1" si="24"/>
        <v>31</v>
      </c>
      <c r="AA128" s="348">
        <f t="shared" ca="1" si="25"/>
        <v>8</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Ven</v>
      </c>
      <c r="U129" s="186" t="str">
        <f t="shared" ca="1" si="32"/>
        <v>août</v>
      </c>
      <c r="X129" s="347">
        <f t="shared" ca="1" si="36"/>
        <v>46234</v>
      </c>
      <c r="Y129" s="452" t="str">
        <f t="shared" ca="1" si="33"/>
        <v>Ven. août , 2026</v>
      </c>
      <c r="Z129" s="143">
        <f t="shared" ca="1" si="24"/>
        <v>31</v>
      </c>
      <c r="AA129" s="348">
        <f t="shared" ca="1" si="25"/>
        <v>8</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Ven</v>
      </c>
      <c r="U130" s="186" t="str">
        <f t="shared" ca="1" si="32"/>
        <v>août</v>
      </c>
      <c r="X130" s="347">
        <f t="shared" ca="1" si="36"/>
        <v>46234</v>
      </c>
      <c r="Y130" s="452" t="str">
        <f t="shared" ca="1" si="33"/>
        <v>Ven. août , 2026</v>
      </c>
      <c r="Z130" s="143">
        <f t="shared" ca="1" si="24"/>
        <v>31</v>
      </c>
      <c r="AA130" s="348">
        <f t="shared" ca="1" si="25"/>
        <v>8</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Ven</v>
      </c>
      <c r="U131" s="186" t="str">
        <f t="shared" ca="1" si="32"/>
        <v>août</v>
      </c>
      <c r="X131" s="347">
        <f t="shared" ca="1" si="36"/>
        <v>46234</v>
      </c>
      <c r="Y131" s="452" t="str">
        <f t="shared" ca="1" si="33"/>
        <v>Ven. août , 2026</v>
      </c>
      <c r="Z131" s="143">
        <f t="shared" ca="1" si="24"/>
        <v>31</v>
      </c>
      <c r="AA131" s="348">
        <f t="shared" ca="1" si="25"/>
        <v>8</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Ven</v>
      </c>
      <c r="U132" s="186" t="str">
        <f t="shared" ca="1" si="32"/>
        <v>août</v>
      </c>
      <c r="X132" s="347">
        <f t="shared" ca="1" si="36"/>
        <v>46234</v>
      </c>
      <c r="Y132" s="452" t="str">
        <f t="shared" ca="1" si="33"/>
        <v>Ven. août , 2026</v>
      </c>
      <c r="Z132" s="143">
        <f t="shared" ca="1" si="24"/>
        <v>31</v>
      </c>
      <c r="AA132" s="348">
        <f t="shared" ca="1" si="25"/>
        <v>8</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Ven</v>
      </c>
      <c r="U133" s="186" t="str">
        <f t="shared" ca="1" si="32"/>
        <v>août</v>
      </c>
      <c r="X133" s="347">
        <f t="shared" ca="1" si="36"/>
        <v>46234</v>
      </c>
      <c r="Y133" s="452" t="str">
        <f t="shared" ca="1" si="33"/>
        <v>Ven. août , 2026</v>
      </c>
      <c r="Z133" s="143">
        <f t="shared" ca="1" si="24"/>
        <v>31</v>
      </c>
      <c r="AA133" s="348">
        <f t="shared" ca="1" si="25"/>
        <v>8</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Ven</v>
      </c>
      <c r="U134" s="186" t="str">
        <f t="shared" ca="1" si="32"/>
        <v>août</v>
      </c>
      <c r="X134" s="347">
        <f t="shared" ca="1" si="36"/>
        <v>46234</v>
      </c>
      <c r="Y134" s="452" t="str">
        <f t="shared" ca="1" si="33"/>
        <v>Ven. août , 2026</v>
      </c>
      <c r="Z134" s="143">
        <f t="shared" ca="1" si="24"/>
        <v>31</v>
      </c>
      <c r="AA134" s="348">
        <f t="shared" ca="1" si="25"/>
        <v>8</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Ven</v>
      </c>
      <c r="U135" s="186" t="str">
        <f t="shared" ca="1" si="32"/>
        <v>août</v>
      </c>
      <c r="X135" s="347">
        <f t="shared" ca="1" si="36"/>
        <v>46234</v>
      </c>
      <c r="Y135" s="452" t="str">
        <f t="shared" ca="1" si="33"/>
        <v>Ven. août , 2026</v>
      </c>
      <c r="Z135" s="143">
        <f t="shared" ca="1" si="24"/>
        <v>31</v>
      </c>
      <c r="AA135" s="348">
        <f t="shared" ca="1" si="25"/>
        <v>8</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Ven</v>
      </c>
      <c r="U136" s="186" t="str">
        <f t="shared" ca="1" si="32"/>
        <v>août</v>
      </c>
      <c r="X136" s="347">
        <f t="shared" ca="1" si="36"/>
        <v>46234</v>
      </c>
      <c r="Y136" s="452" t="str">
        <f t="shared" ca="1" si="33"/>
        <v>Ven. août , 2026</v>
      </c>
      <c r="Z136" s="143">
        <f t="shared" ca="1" si="24"/>
        <v>31</v>
      </c>
      <c r="AA136" s="348">
        <f t="shared" ca="1" si="25"/>
        <v>8</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Ven</v>
      </c>
      <c r="U137" s="186" t="str">
        <f t="shared" ca="1" si="32"/>
        <v>août</v>
      </c>
      <c r="X137" s="347">
        <f t="shared" ca="1" si="36"/>
        <v>46234</v>
      </c>
      <c r="Y137" s="452" t="str">
        <f t="shared" ca="1" si="33"/>
        <v>Ven. août , 2026</v>
      </c>
      <c r="Z137" s="143">
        <f t="shared" ca="1" si="24"/>
        <v>31</v>
      </c>
      <c r="AA137" s="348">
        <f t="shared" ca="1" si="25"/>
        <v>8</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Ven</v>
      </c>
      <c r="U138" s="186" t="str">
        <f t="shared" ca="1" si="32"/>
        <v>août</v>
      </c>
      <c r="X138" s="347">
        <f t="shared" ca="1" si="36"/>
        <v>46234</v>
      </c>
      <c r="Y138" s="452" t="str">
        <f t="shared" ca="1" si="33"/>
        <v>Ven. août , 2026</v>
      </c>
      <c r="Z138" s="143">
        <f t="shared" ca="1" si="24"/>
        <v>31</v>
      </c>
      <c r="AA138" s="348">
        <f t="shared" ca="1" si="25"/>
        <v>8</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Ven</v>
      </c>
      <c r="U139" s="186" t="str">
        <f t="shared" ca="1" si="32"/>
        <v>août</v>
      </c>
      <c r="X139" s="347">
        <f t="shared" ca="1" si="36"/>
        <v>46234</v>
      </c>
      <c r="Y139" s="452" t="str">
        <f t="shared" ca="1" si="33"/>
        <v>Ven. août , 2026</v>
      </c>
      <c r="Z139" s="143">
        <f t="shared" ca="1" si="24"/>
        <v>31</v>
      </c>
      <c r="AA139" s="348">
        <f t="shared" ca="1" si="25"/>
        <v>8</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Ven</v>
      </c>
      <c r="U140" s="186" t="str">
        <f t="shared" ca="1" si="32"/>
        <v>août</v>
      </c>
      <c r="X140" s="347">
        <f t="shared" ca="1" si="36"/>
        <v>46234</v>
      </c>
      <c r="Y140" s="452" t="str">
        <f t="shared" ca="1" si="33"/>
        <v>Ven. août , 2026</v>
      </c>
      <c r="Z140" s="143">
        <f t="shared" ca="1" si="24"/>
        <v>31</v>
      </c>
      <c r="AA140" s="348">
        <f t="shared" ca="1" si="25"/>
        <v>8</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Ven</v>
      </c>
      <c r="U141" s="186" t="str">
        <f t="shared" ca="1" si="32"/>
        <v>août</v>
      </c>
      <c r="X141" s="347">
        <f t="shared" ca="1" si="36"/>
        <v>46234</v>
      </c>
      <c r="Y141" s="452" t="str">
        <f t="shared" ca="1" si="33"/>
        <v>Ven. août , 2026</v>
      </c>
      <c r="Z141" s="143">
        <f t="shared" ca="1" si="24"/>
        <v>31</v>
      </c>
      <c r="AA141" s="348">
        <f t="shared" ca="1" si="25"/>
        <v>8</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Ven</v>
      </c>
      <c r="U142" s="186" t="str">
        <f t="shared" ca="1" si="32"/>
        <v>août</v>
      </c>
      <c r="X142" s="347">
        <f t="shared" ca="1" si="36"/>
        <v>46234</v>
      </c>
      <c r="Y142" s="452" t="str">
        <f t="shared" ca="1" si="33"/>
        <v>Ven. août , 2026</v>
      </c>
      <c r="Z142" s="143">
        <f t="shared" ca="1" si="24"/>
        <v>31</v>
      </c>
      <c r="AA142" s="348">
        <f t="shared" ca="1" si="25"/>
        <v>8</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Ven</v>
      </c>
      <c r="U143" s="186" t="str">
        <f t="shared" ca="1" si="32"/>
        <v>août</v>
      </c>
      <c r="X143" s="347">
        <f t="shared" ca="1" si="36"/>
        <v>46234</v>
      </c>
      <c r="Y143" s="452" t="str">
        <f t="shared" ca="1" si="33"/>
        <v>Ven. août , 2026</v>
      </c>
      <c r="Z143" s="143">
        <f t="shared" ca="1" si="24"/>
        <v>31</v>
      </c>
      <c r="AA143" s="348">
        <f t="shared" ca="1" si="25"/>
        <v>8</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Ven</v>
      </c>
      <c r="U144" s="186" t="str">
        <f t="shared" ca="1" si="32"/>
        <v>août</v>
      </c>
      <c r="X144" s="347">
        <f t="shared" ca="1" si="36"/>
        <v>46234</v>
      </c>
      <c r="Y144" s="452" t="str">
        <f t="shared" ca="1" si="33"/>
        <v>Ven. août , 2026</v>
      </c>
      <c r="Z144" s="143">
        <f t="shared" ca="1" si="24"/>
        <v>31</v>
      </c>
      <c r="AA144" s="348">
        <f t="shared" ca="1" si="25"/>
        <v>8</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Ven</v>
      </c>
      <c r="U145" s="186" t="str">
        <f t="shared" ca="1" si="32"/>
        <v>août</v>
      </c>
      <c r="X145" s="347">
        <f t="shared" ca="1" si="36"/>
        <v>46234</v>
      </c>
      <c r="Y145" s="452" t="str">
        <f t="shared" ca="1" si="33"/>
        <v>Ven. août , 2026</v>
      </c>
      <c r="Z145" s="143">
        <f t="shared" ca="1" si="24"/>
        <v>31</v>
      </c>
      <c r="AA145" s="348">
        <f t="shared" ca="1" si="25"/>
        <v>8</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Ven</v>
      </c>
      <c r="U146" s="186" t="str">
        <f t="shared" ca="1" si="32"/>
        <v>août</v>
      </c>
      <c r="X146" s="347">
        <f t="shared" ca="1" si="36"/>
        <v>46234</v>
      </c>
      <c r="Y146" s="452" t="str">
        <f t="shared" ca="1" si="33"/>
        <v>Ven. août , 2026</v>
      </c>
      <c r="Z146" s="143">
        <f t="shared" ca="1" si="24"/>
        <v>31</v>
      </c>
      <c r="AA146" s="348">
        <f t="shared" ca="1" si="25"/>
        <v>8</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Ven</v>
      </c>
      <c r="U147" s="186" t="str">
        <f t="shared" ca="1" si="32"/>
        <v>août</v>
      </c>
      <c r="X147" s="347">
        <f t="shared" ca="1" si="36"/>
        <v>46234</v>
      </c>
      <c r="Y147" s="452" t="str">
        <f t="shared" ca="1" si="33"/>
        <v>Ven. août , 2026</v>
      </c>
      <c r="Z147" s="143">
        <f t="shared" ca="1" si="24"/>
        <v>31</v>
      </c>
      <c r="AA147" s="348">
        <f t="shared" ca="1" si="25"/>
        <v>8</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Ven</v>
      </c>
      <c r="U148" s="186" t="str">
        <f t="shared" ca="1" si="32"/>
        <v>août</v>
      </c>
      <c r="X148" s="347">
        <f t="shared" ca="1" si="36"/>
        <v>46234</v>
      </c>
      <c r="Y148" s="452" t="str">
        <f t="shared" ca="1" si="33"/>
        <v>Ven. août , 2026</v>
      </c>
      <c r="Z148" s="143">
        <f t="shared" ref="Z148:Z194" ca="1" si="43">MIN(R148,$AF$5)</f>
        <v>31</v>
      </c>
      <c r="AA148" s="348">
        <f t="shared" ref="AA148:AA194" ca="1" si="44">$AD$6</f>
        <v>8</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Ven</v>
      </c>
      <c r="U149" s="186" t="str">
        <f t="shared" ref="U149:U194" ca="1" si="51">$U$19</f>
        <v>août</v>
      </c>
      <c r="X149" s="347">
        <f t="shared" ca="1" si="36"/>
        <v>46234</v>
      </c>
      <c r="Y149" s="452" t="str">
        <f t="shared" ref="Y149:Y194" ca="1" si="52">IF(Y143="f",T149&amp;". "&amp;" "&amp;R149&amp;" "&amp;U149&amp;" "&amp;$AE$7,T149&amp;". "&amp;U149&amp;" "&amp;R149&amp;", "&amp;$AE$7)</f>
        <v>Ven. août , 2026</v>
      </c>
      <c r="Z149" s="143">
        <f t="shared" ca="1" si="43"/>
        <v>31</v>
      </c>
      <c r="AA149" s="348">
        <f t="shared" ca="1" si="44"/>
        <v>8</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Ven</v>
      </c>
      <c r="U150" s="186" t="str">
        <f t="shared" ca="1" si="51"/>
        <v>août</v>
      </c>
      <c r="X150" s="347">
        <f t="shared" ref="X150:X194" ca="1" si="55">$AE$8+D150</f>
        <v>46234</v>
      </c>
      <c r="Y150" s="452" t="str">
        <f t="shared" ca="1" si="52"/>
        <v>Ven. août , 2026</v>
      </c>
      <c r="Z150" s="143">
        <f t="shared" ca="1" si="43"/>
        <v>31</v>
      </c>
      <c r="AA150" s="348">
        <f t="shared" ca="1" si="44"/>
        <v>8</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Ven</v>
      </c>
      <c r="U151" s="186" t="str">
        <f t="shared" ca="1" si="51"/>
        <v>août</v>
      </c>
      <c r="X151" s="347">
        <f t="shared" ca="1" si="55"/>
        <v>46234</v>
      </c>
      <c r="Y151" s="452" t="str">
        <f t="shared" ca="1" si="52"/>
        <v>Ven. août , 2026</v>
      </c>
      <c r="Z151" s="143">
        <f t="shared" ca="1" si="43"/>
        <v>31</v>
      </c>
      <c r="AA151" s="348">
        <f t="shared" ca="1" si="44"/>
        <v>8</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Ven</v>
      </c>
      <c r="U152" s="186" t="str">
        <f t="shared" ca="1" si="51"/>
        <v>août</v>
      </c>
      <c r="X152" s="347">
        <f t="shared" ca="1" si="55"/>
        <v>46234</v>
      </c>
      <c r="Y152" s="452" t="str">
        <f t="shared" ca="1" si="52"/>
        <v>Ven. août , 2026</v>
      </c>
      <c r="Z152" s="143">
        <f t="shared" ca="1" si="43"/>
        <v>31</v>
      </c>
      <c r="AA152" s="348">
        <f t="shared" ca="1" si="44"/>
        <v>8</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Ven</v>
      </c>
      <c r="U153" s="186" t="str">
        <f t="shared" ca="1" si="51"/>
        <v>août</v>
      </c>
      <c r="X153" s="347">
        <f t="shared" ca="1" si="55"/>
        <v>46234</v>
      </c>
      <c r="Y153" s="452" t="str">
        <f t="shared" ca="1" si="52"/>
        <v>Ven. août , 2026</v>
      </c>
      <c r="Z153" s="143">
        <f t="shared" ca="1" si="43"/>
        <v>31</v>
      </c>
      <c r="AA153" s="348">
        <f t="shared" ca="1" si="44"/>
        <v>8</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Ven</v>
      </c>
      <c r="U154" s="186" t="str">
        <f t="shared" ca="1" si="51"/>
        <v>août</v>
      </c>
      <c r="X154" s="347">
        <f t="shared" ca="1" si="55"/>
        <v>46234</v>
      </c>
      <c r="Y154" s="452" t="str">
        <f t="shared" ca="1" si="52"/>
        <v>Ven. août , 2026</v>
      </c>
      <c r="Z154" s="143">
        <f t="shared" ca="1" si="43"/>
        <v>31</v>
      </c>
      <c r="AA154" s="348">
        <f t="shared" ca="1" si="44"/>
        <v>8</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Ven</v>
      </c>
      <c r="U155" s="186" t="str">
        <f t="shared" ca="1" si="51"/>
        <v>août</v>
      </c>
      <c r="X155" s="347">
        <f t="shared" ca="1" si="55"/>
        <v>46234</v>
      </c>
      <c r="Y155" s="452" t="str">
        <f t="shared" ca="1" si="52"/>
        <v>Ven. août , 2026</v>
      </c>
      <c r="Z155" s="143">
        <f t="shared" ca="1" si="43"/>
        <v>31</v>
      </c>
      <c r="AA155" s="348">
        <f t="shared" ca="1" si="44"/>
        <v>8</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Ven</v>
      </c>
      <c r="U156" s="186" t="str">
        <f t="shared" ca="1" si="51"/>
        <v>août</v>
      </c>
      <c r="X156" s="347">
        <f t="shared" ca="1" si="55"/>
        <v>46234</v>
      </c>
      <c r="Y156" s="452" t="str">
        <f t="shared" ca="1" si="52"/>
        <v>Ven. août , 2026</v>
      </c>
      <c r="Z156" s="143">
        <f t="shared" ca="1" si="43"/>
        <v>31</v>
      </c>
      <c r="AA156" s="348">
        <f t="shared" ca="1" si="44"/>
        <v>8</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Ven</v>
      </c>
      <c r="U157" s="186" t="str">
        <f t="shared" ca="1" si="51"/>
        <v>août</v>
      </c>
      <c r="X157" s="347">
        <f t="shared" ca="1" si="55"/>
        <v>46234</v>
      </c>
      <c r="Y157" s="452" t="str">
        <f t="shared" ca="1" si="52"/>
        <v>Ven. août , 2026</v>
      </c>
      <c r="Z157" s="143">
        <f t="shared" ca="1" si="43"/>
        <v>31</v>
      </c>
      <c r="AA157" s="348">
        <f t="shared" ca="1" si="44"/>
        <v>8</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Ven</v>
      </c>
      <c r="U158" s="186" t="str">
        <f t="shared" ca="1" si="51"/>
        <v>août</v>
      </c>
      <c r="X158" s="347">
        <f t="shared" ca="1" si="55"/>
        <v>46234</v>
      </c>
      <c r="Y158" s="452" t="str">
        <f t="shared" ca="1" si="52"/>
        <v>Ven. août , 2026</v>
      </c>
      <c r="Z158" s="143">
        <f t="shared" ca="1" si="43"/>
        <v>31</v>
      </c>
      <c r="AA158" s="348">
        <f t="shared" ca="1" si="44"/>
        <v>8</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Ven</v>
      </c>
      <c r="U159" s="186" t="str">
        <f t="shared" ca="1" si="51"/>
        <v>août</v>
      </c>
      <c r="X159" s="347">
        <f t="shared" ca="1" si="55"/>
        <v>46234</v>
      </c>
      <c r="Y159" s="452" t="str">
        <f t="shared" ca="1" si="52"/>
        <v>Ven. août , 2026</v>
      </c>
      <c r="Z159" s="143">
        <f t="shared" ca="1" si="43"/>
        <v>31</v>
      </c>
      <c r="AA159" s="348">
        <f t="shared" ca="1" si="44"/>
        <v>8</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Ven</v>
      </c>
      <c r="U160" s="186" t="str">
        <f t="shared" ca="1" si="51"/>
        <v>août</v>
      </c>
      <c r="X160" s="347">
        <f t="shared" ca="1" si="55"/>
        <v>46234</v>
      </c>
      <c r="Y160" s="452" t="str">
        <f t="shared" ca="1" si="52"/>
        <v>Ven. août , 2026</v>
      </c>
      <c r="Z160" s="143">
        <f t="shared" ca="1" si="43"/>
        <v>31</v>
      </c>
      <c r="AA160" s="348">
        <f t="shared" ca="1" si="44"/>
        <v>8</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Ven</v>
      </c>
      <c r="U161" s="186" t="str">
        <f t="shared" ca="1" si="51"/>
        <v>août</v>
      </c>
      <c r="X161" s="347">
        <f t="shared" ca="1" si="55"/>
        <v>46234</v>
      </c>
      <c r="Y161" s="452" t="str">
        <f t="shared" ca="1" si="52"/>
        <v>Ven. août , 2026</v>
      </c>
      <c r="Z161" s="143">
        <f t="shared" ca="1" si="43"/>
        <v>31</v>
      </c>
      <c r="AA161" s="348">
        <f t="shared" ca="1" si="44"/>
        <v>8</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Ven</v>
      </c>
      <c r="U162" s="186" t="str">
        <f t="shared" ca="1" si="51"/>
        <v>août</v>
      </c>
      <c r="X162" s="347">
        <f t="shared" ca="1" si="55"/>
        <v>46234</v>
      </c>
      <c r="Y162" s="452" t="str">
        <f t="shared" ca="1" si="52"/>
        <v>Ven. août , 2026</v>
      </c>
      <c r="Z162" s="143">
        <f t="shared" ca="1" si="43"/>
        <v>31</v>
      </c>
      <c r="AA162" s="348">
        <f t="shared" ca="1" si="44"/>
        <v>8</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Ven</v>
      </c>
      <c r="U163" s="186" t="str">
        <f t="shared" ca="1" si="51"/>
        <v>août</v>
      </c>
      <c r="X163" s="347">
        <f t="shared" ca="1" si="55"/>
        <v>46234</v>
      </c>
      <c r="Y163" s="452" t="str">
        <f t="shared" ca="1" si="52"/>
        <v>Ven. août , 2026</v>
      </c>
      <c r="Z163" s="143">
        <f t="shared" ca="1" si="43"/>
        <v>31</v>
      </c>
      <c r="AA163" s="348">
        <f t="shared" ca="1" si="44"/>
        <v>8</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Ven</v>
      </c>
      <c r="U164" s="186" t="str">
        <f t="shared" ca="1" si="51"/>
        <v>août</v>
      </c>
      <c r="X164" s="347">
        <f t="shared" ca="1" si="55"/>
        <v>46234</v>
      </c>
      <c r="Y164" s="452" t="str">
        <f t="shared" ca="1" si="52"/>
        <v>Ven. août , 2026</v>
      </c>
      <c r="Z164" s="143">
        <f t="shared" ca="1" si="43"/>
        <v>31</v>
      </c>
      <c r="AA164" s="348">
        <f t="shared" ca="1" si="44"/>
        <v>8</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Ven</v>
      </c>
      <c r="U165" s="186" t="str">
        <f t="shared" ca="1" si="51"/>
        <v>août</v>
      </c>
      <c r="X165" s="347">
        <f t="shared" ca="1" si="55"/>
        <v>46234</v>
      </c>
      <c r="Y165" s="452" t="str">
        <f t="shared" ca="1" si="52"/>
        <v>Ven. août , 2026</v>
      </c>
      <c r="Z165" s="143">
        <f t="shared" ca="1" si="43"/>
        <v>31</v>
      </c>
      <c r="AA165" s="348">
        <f t="shared" ca="1" si="44"/>
        <v>8</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Ven</v>
      </c>
      <c r="U166" s="186" t="str">
        <f t="shared" ca="1" si="51"/>
        <v>août</v>
      </c>
      <c r="X166" s="347">
        <f t="shared" ca="1" si="55"/>
        <v>46234</v>
      </c>
      <c r="Y166" s="452" t="str">
        <f t="shared" ca="1" si="52"/>
        <v>Ven. août , 2026</v>
      </c>
      <c r="Z166" s="143">
        <f t="shared" ca="1" si="43"/>
        <v>31</v>
      </c>
      <c r="AA166" s="348">
        <f t="shared" ca="1" si="44"/>
        <v>8</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Ven</v>
      </c>
      <c r="U167" s="186" t="str">
        <f t="shared" ca="1" si="51"/>
        <v>août</v>
      </c>
      <c r="X167" s="347">
        <f t="shared" ca="1" si="55"/>
        <v>46234</v>
      </c>
      <c r="Y167" s="452" t="str">
        <f t="shared" ca="1" si="52"/>
        <v>Ven. août , 2026</v>
      </c>
      <c r="Z167" s="143">
        <f t="shared" ca="1" si="43"/>
        <v>31</v>
      </c>
      <c r="AA167" s="348">
        <f t="shared" ca="1" si="44"/>
        <v>8</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Ven</v>
      </c>
      <c r="U168" s="186" t="str">
        <f t="shared" ca="1" si="51"/>
        <v>août</v>
      </c>
      <c r="X168" s="347">
        <f t="shared" ca="1" si="55"/>
        <v>46234</v>
      </c>
      <c r="Y168" s="452" t="str">
        <f t="shared" ca="1" si="52"/>
        <v>Ven. août , 2026</v>
      </c>
      <c r="Z168" s="143">
        <f t="shared" ca="1" si="43"/>
        <v>31</v>
      </c>
      <c r="AA168" s="348">
        <f t="shared" ca="1" si="44"/>
        <v>8</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Ven</v>
      </c>
      <c r="U169" s="186" t="str">
        <f t="shared" ca="1" si="51"/>
        <v>août</v>
      </c>
      <c r="X169" s="347">
        <f t="shared" ca="1" si="55"/>
        <v>46234</v>
      </c>
      <c r="Y169" s="452" t="str">
        <f t="shared" ca="1" si="52"/>
        <v>Ven. août , 2026</v>
      </c>
      <c r="Z169" s="143">
        <f t="shared" ca="1" si="43"/>
        <v>31</v>
      </c>
      <c r="AA169" s="348">
        <f t="shared" ca="1" si="44"/>
        <v>8</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Ven</v>
      </c>
      <c r="U170" s="186" t="str">
        <f t="shared" ca="1" si="51"/>
        <v>août</v>
      </c>
      <c r="X170" s="347">
        <f t="shared" ca="1" si="55"/>
        <v>46234</v>
      </c>
      <c r="Y170" s="452" t="str">
        <f t="shared" ca="1" si="52"/>
        <v>Ven. août , 2026</v>
      </c>
      <c r="Z170" s="143">
        <f t="shared" ca="1" si="43"/>
        <v>31</v>
      </c>
      <c r="AA170" s="348">
        <f t="shared" ca="1" si="44"/>
        <v>8</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Ven</v>
      </c>
      <c r="U171" s="186" t="str">
        <f t="shared" ca="1" si="51"/>
        <v>août</v>
      </c>
      <c r="X171" s="347">
        <f t="shared" ca="1" si="55"/>
        <v>46234</v>
      </c>
      <c r="Y171" s="452" t="str">
        <f t="shared" ca="1" si="52"/>
        <v>Ven. août , 2026</v>
      </c>
      <c r="Z171" s="143">
        <f t="shared" ca="1" si="43"/>
        <v>31</v>
      </c>
      <c r="AA171" s="348">
        <f t="shared" ca="1" si="44"/>
        <v>8</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Ven</v>
      </c>
      <c r="U172" s="186" t="str">
        <f t="shared" ca="1" si="51"/>
        <v>août</v>
      </c>
      <c r="X172" s="347">
        <f t="shared" ca="1" si="55"/>
        <v>46234</v>
      </c>
      <c r="Y172" s="452" t="str">
        <f t="shared" ca="1" si="52"/>
        <v>Ven. août , 2026</v>
      </c>
      <c r="Z172" s="143">
        <f t="shared" ca="1" si="43"/>
        <v>31</v>
      </c>
      <c r="AA172" s="348">
        <f t="shared" ca="1" si="44"/>
        <v>8</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Ven</v>
      </c>
      <c r="U173" s="186" t="str">
        <f t="shared" ca="1" si="51"/>
        <v>août</v>
      </c>
      <c r="X173" s="347">
        <f t="shared" ca="1" si="55"/>
        <v>46234</v>
      </c>
      <c r="Y173" s="452" t="str">
        <f t="shared" ca="1" si="52"/>
        <v>Ven. août , 2026</v>
      </c>
      <c r="Z173" s="143">
        <f t="shared" ca="1" si="43"/>
        <v>31</v>
      </c>
      <c r="AA173" s="348">
        <f t="shared" ca="1" si="44"/>
        <v>8</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Ven</v>
      </c>
      <c r="U174" s="186" t="str">
        <f t="shared" ca="1" si="51"/>
        <v>août</v>
      </c>
      <c r="X174" s="347">
        <f t="shared" ca="1" si="55"/>
        <v>46234</v>
      </c>
      <c r="Y174" s="452" t="str">
        <f t="shared" ca="1" si="52"/>
        <v>Ven. août , 2026</v>
      </c>
      <c r="Z174" s="143">
        <f t="shared" ca="1" si="43"/>
        <v>31</v>
      </c>
      <c r="AA174" s="348">
        <f t="shared" ca="1" si="44"/>
        <v>8</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Ven</v>
      </c>
      <c r="U175" s="186" t="str">
        <f t="shared" ca="1" si="51"/>
        <v>août</v>
      </c>
      <c r="X175" s="347">
        <f t="shared" ca="1" si="55"/>
        <v>46234</v>
      </c>
      <c r="Y175" s="452" t="str">
        <f t="shared" ca="1" si="52"/>
        <v>Ven. août , 2026</v>
      </c>
      <c r="Z175" s="143">
        <f t="shared" ca="1" si="43"/>
        <v>31</v>
      </c>
      <c r="AA175" s="348">
        <f t="shared" ca="1" si="44"/>
        <v>8</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Ven</v>
      </c>
      <c r="U176" s="186" t="str">
        <f t="shared" ca="1" si="51"/>
        <v>août</v>
      </c>
      <c r="X176" s="347">
        <f t="shared" ca="1" si="55"/>
        <v>46234</v>
      </c>
      <c r="Y176" s="452" t="str">
        <f t="shared" ca="1" si="52"/>
        <v>Ven. août , 2026</v>
      </c>
      <c r="Z176" s="143">
        <f t="shared" ca="1" si="43"/>
        <v>31</v>
      </c>
      <c r="AA176" s="348">
        <f t="shared" ca="1" si="44"/>
        <v>8</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Ven</v>
      </c>
      <c r="U177" s="186" t="str">
        <f t="shared" ca="1" si="51"/>
        <v>août</v>
      </c>
      <c r="X177" s="347">
        <f t="shared" ca="1" si="55"/>
        <v>46234</v>
      </c>
      <c r="Y177" s="452" t="str">
        <f t="shared" ca="1" si="52"/>
        <v>Ven. août , 2026</v>
      </c>
      <c r="Z177" s="143">
        <f t="shared" ca="1" si="43"/>
        <v>31</v>
      </c>
      <c r="AA177" s="348">
        <f t="shared" ca="1" si="44"/>
        <v>8</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Ven</v>
      </c>
      <c r="U178" s="186" t="str">
        <f t="shared" ca="1" si="51"/>
        <v>août</v>
      </c>
      <c r="X178" s="347">
        <f t="shared" ca="1" si="55"/>
        <v>46234</v>
      </c>
      <c r="Y178" s="452" t="str">
        <f t="shared" ca="1" si="52"/>
        <v>Ven. août , 2026</v>
      </c>
      <c r="Z178" s="143">
        <f t="shared" ca="1" si="43"/>
        <v>31</v>
      </c>
      <c r="AA178" s="348">
        <f t="shared" ca="1" si="44"/>
        <v>8</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Ven</v>
      </c>
      <c r="U179" s="186" t="str">
        <f t="shared" ca="1" si="51"/>
        <v>août</v>
      </c>
      <c r="X179" s="347">
        <f t="shared" ca="1" si="55"/>
        <v>46234</v>
      </c>
      <c r="Y179" s="452" t="str">
        <f t="shared" ca="1" si="52"/>
        <v>Ven. août , 2026</v>
      </c>
      <c r="Z179" s="143">
        <f t="shared" ca="1" si="43"/>
        <v>31</v>
      </c>
      <c r="AA179" s="348">
        <f t="shared" ca="1" si="44"/>
        <v>8</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Ven</v>
      </c>
      <c r="U180" s="186" t="str">
        <f t="shared" ca="1" si="51"/>
        <v>août</v>
      </c>
      <c r="X180" s="347">
        <f t="shared" ca="1" si="55"/>
        <v>46234</v>
      </c>
      <c r="Y180" s="452" t="str">
        <f t="shared" ca="1" si="52"/>
        <v>Ven. août , 2026</v>
      </c>
      <c r="Z180" s="143">
        <f t="shared" ca="1" si="43"/>
        <v>31</v>
      </c>
      <c r="AA180" s="348">
        <f t="shared" ca="1" si="44"/>
        <v>8</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Ven</v>
      </c>
      <c r="U181" s="186" t="str">
        <f t="shared" ca="1" si="51"/>
        <v>août</v>
      </c>
      <c r="X181" s="347">
        <f t="shared" ca="1" si="55"/>
        <v>46234</v>
      </c>
      <c r="Y181" s="452" t="str">
        <f t="shared" ca="1" si="52"/>
        <v>Ven. août , 2026</v>
      </c>
      <c r="Z181" s="143">
        <f t="shared" ca="1" si="43"/>
        <v>31</v>
      </c>
      <c r="AA181" s="348">
        <f t="shared" ca="1" si="44"/>
        <v>8</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Ven</v>
      </c>
      <c r="U182" s="186" t="str">
        <f t="shared" ca="1" si="51"/>
        <v>août</v>
      </c>
      <c r="X182" s="347">
        <f t="shared" ca="1" si="55"/>
        <v>46234</v>
      </c>
      <c r="Y182" s="452" t="str">
        <f t="shared" ca="1" si="52"/>
        <v>Ven. août , 2026</v>
      </c>
      <c r="Z182" s="143">
        <f t="shared" ca="1" si="43"/>
        <v>31</v>
      </c>
      <c r="AA182" s="348">
        <f t="shared" ca="1" si="44"/>
        <v>8</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Ven</v>
      </c>
      <c r="U183" s="186" t="str">
        <f t="shared" ca="1" si="51"/>
        <v>août</v>
      </c>
      <c r="X183" s="347">
        <f t="shared" ca="1" si="55"/>
        <v>46234</v>
      </c>
      <c r="Y183" s="452" t="str">
        <f t="shared" ca="1" si="52"/>
        <v>Ven. août , 2026</v>
      </c>
      <c r="Z183" s="143">
        <f t="shared" ca="1" si="43"/>
        <v>31</v>
      </c>
      <c r="AA183" s="348">
        <f t="shared" ca="1" si="44"/>
        <v>8</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Ven</v>
      </c>
      <c r="U184" s="186" t="str">
        <f t="shared" ca="1" si="51"/>
        <v>août</v>
      </c>
      <c r="X184" s="347">
        <f t="shared" ca="1" si="55"/>
        <v>46234</v>
      </c>
      <c r="Y184" s="452" t="str">
        <f t="shared" ca="1" si="52"/>
        <v>Ven. août , 2026</v>
      </c>
      <c r="Z184" s="143">
        <f t="shared" ca="1" si="43"/>
        <v>31</v>
      </c>
      <c r="AA184" s="348">
        <f t="shared" ca="1" si="44"/>
        <v>8</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Ven</v>
      </c>
      <c r="U185" s="186" t="str">
        <f t="shared" ca="1" si="51"/>
        <v>août</v>
      </c>
      <c r="X185" s="347">
        <f t="shared" ca="1" si="55"/>
        <v>46234</v>
      </c>
      <c r="Y185" s="452" t="str">
        <f t="shared" ca="1" si="52"/>
        <v>Ven. août , 2026</v>
      </c>
      <c r="Z185" s="143">
        <f t="shared" ca="1" si="43"/>
        <v>31</v>
      </c>
      <c r="AA185" s="348">
        <f t="shared" ca="1" si="44"/>
        <v>8</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Ven</v>
      </c>
      <c r="U186" s="186" t="str">
        <f t="shared" ca="1" si="51"/>
        <v>août</v>
      </c>
      <c r="X186" s="347">
        <f t="shared" ca="1" si="55"/>
        <v>46234</v>
      </c>
      <c r="Y186" s="452" t="str">
        <f t="shared" ca="1" si="52"/>
        <v>Ven. août , 2026</v>
      </c>
      <c r="Z186" s="143">
        <f t="shared" ca="1" si="43"/>
        <v>31</v>
      </c>
      <c r="AA186" s="348">
        <f t="shared" ca="1" si="44"/>
        <v>8</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Ven</v>
      </c>
      <c r="U187" s="186" t="str">
        <f t="shared" ca="1" si="51"/>
        <v>août</v>
      </c>
      <c r="X187" s="347">
        <f t="shared" ca="1" si="55"/>
        <v>46234</v>
      </c>
      <c r="Y187" s="452" t="str">
        <f t="shared" ca="1" si="52"/>
        <v>Ven. août , 2026</v>
      </c>
      <c r="Z187" s="143">
        <f t="shared" ca="1" si="43"/>
        <v>31</v>
      </c>
      <c r="AA187" s="348">
        <f t="shared" ca="1" si="44"/>
        <v>8</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Ven</v>
      </c>
      <c r="U188" s="186" t="str">
        <f t="shared" ca="1" si="51"/>
        <v>août</v>
      </c>
      <c r="X188" s="347">
        <f t="shared" ca="1" si="55"/>
        <v>46234</v>
      </c>
      <c r="Y188" s="452" t="str">
        <f t="shared" ca="1" si="52"/>
        <v>Ven. août , 2026</v>
      </c>
      <c r="Z188" s="143">
        <f t="shared" ca="1" si="43"/>
        <v>31</v>
      </c>
      <c r="AA188" s="348">
        <f t="shared" ca="1" si="44"/>
        <v>8</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Ven</v>
      </c>
      <c r="U189" s="186" t="str">
        <f t="shared" ca="1" si="51"/>
        <v>août</v>
      </c>
      <c r="X189" s="347">
        <f t="shared" ca="1" si="55"/>
        <v>46234</v>
      </c>
      <c r="Y189" s="452" t="str">
        <f t="shared" ca="1" si="52"/>
        <v>Ven. août , 2026</v>
      </c>
      <c r="Z189" s="143">
        <f t="shared" ca="1" si="43"/>
        <v>31</v>
      </c>
      <c r="AA189" s="348">
        <f t="shared" ca="1" si="44"/>
        <v>8</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Ven</v>
      </c>
      <c r="U190" s="186" t="str">
        <f t="shared" ca="1" si="51"/>
        <v>août</v>
      </c>
      <c r="X190" s="347">
        <f t="shared" ca="1" si="55"/>
        <v>46234</v>
      </c>
      <c r="Y190" s="452" t="str">
        <f t="shared" ca="1" si="52"/>
        <v>Ven. août , 2026</v>
      </c>
      <c r="Z190" s="143">
        <f t="shared" ca="1" si="43"/>
        <v>31</v>
      </c>
      <c r="AA190" s="348">
        <f t="shared" ca="1" si="44"/>
        <v>8</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Ven</v>
      </c>
      <c r="U191" s="186" t="str">
        <f t="shared" ca="1" si="51"/>
        <v>août</v>
      </c>
      <c r="X191" s="347">
        <f t="shared" ca="1" si="55"/>
        <v>46234</v>
      </c>
      <c r="Y191" s="452" t="str">
        <f t="shared" ca="1" si="52"/>
        <v>Ven. août , 2026</v>
      </c>
      <c r="Z191" s="143">
        <f t="shared" ca="1" si="43"/>
        <v>31</v>
      </c>
      <c r="AA191" s="348">
        <f t="shared" ca="1" si="44"/>
        <v>8</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Ven</v>
      </c>
      <c r="U192" s="186" t="str">
        <f t="shared" ca="1" si="51"/>
        <v>août</v>
      </c>
      <c r="X192" s="347">
        <f t="shared" ca="1" si="55"/>
        <v>46234</v>
      </c>
      <c r="Y192" s="452" t="str">
        <f t="shared" ca="1" si="52"/>
        <v>Ven. août , 2026</v>
      </c>
      <c r="Z192" s="143">
        <f t="shared" ca="1" si="43"/>
        <v>31</v>
      </c>
      <c r="AA192" s="348">
        <f t="shared" ca="1" si="44"/>
        <v>8</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Ven</v>
      </c>
      <c r="U193" s="186" t="str">
        <f t="shared" ca="1" si="51"/>
        <v>août</v>
      </c>
      <c r="X193" s="347">
        <f t="shared" ca="1" si="55"/>
        <v>46234</v>
      </c>
      <c r="Y193" s="452" t="str">
        <f t="shared" ca="1" si="52"/>
        <v>Ven. août , 2026</v>
      </c>
      <c r="Z193" s="143">
        <f t="shared" ca="1" si="43"/>
        <v>31</v>
      </c>
      <c r="AA193" s="348">
        <f t="shared" ca="1" si="44"/>
        <v>8</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Ven</v>
      </c>
      <c r="U194" s="186" t="str">
        <f t="shared" ca="1" si="51"/>
        <v>août</v>
      </c>
      <c r="X194" s="347">
        <f t="shared" ca="1" si="55"/>
        <v>46234</v>
      </c>
      <c r="Y194" s="452" t="str">
        <f t="shared" ca="1" si="52"/>
        <v>Ven. août , 2026</v>
      </c>
      <c r="Z194" s="143">
        <f t="shared" ca="1" si="43"/>
        <v>31</v>
      </c>
      <c r="AA194" s="348">
        <f t="shared" ca="1" si="44"/>
        <v>8</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347" priority="61" stopIfTrue="1">
      <formula>AND($AJ$2=$AF$5,$X$16=$X$13)</formula>
    </cfRule>
  </conditionalFormatting>
  <conditionalFormatting sqref="B18">
    <cfRule type="expression" dxfId="346" priority="40" stopIfTrue="1">
      <formula>(B18&gt;DATE(2000+$Y$2,$AA$21+1,1)-DATE(2000+$Y$2,$AA$21,1))</formula>
    </cfRule>
  </conditionalFormatting>
  <conditionalFormatting sqref="B20:B194">
    <cfRule type="expression" dxfId="345" priority="7" stopIfTrue="1">
      <formula>($G20="- -")</formula>
    </cfRule>
  </conditionalFormatting>
  <conditionalFormatting sqref="B16:J16">
    <cfRule type="expression" dxfId="344" priority="47" stopIfTrue="1">
      <formula>AND($AJ$2=$AF$5,$X$16=$X$13)</formula>
    </cfRule>
  </conditionalFormatting>
  <conditionalFormatting sqref="C17">
    <cfRule type="cellIs" dxfId="343" priority="46" stopIfTrue="1" operator="equal">
      <formula>"X"</formula>
    </cfRule>
  </conditionalFormatting>
  <conditionalFormatting sqref="C20:C194">
    <cfRule type="expression" dxfId="342" priority="15" stopIfTrue="1">
      <formula>($X$16=$X$14)</formula>
    </cfRule>
    <cfRule type="expression" dxfId="341" priority="16" stopIfTrue="1">
      <formula>($AV20=1)</formula>
    </cfRule>
    <cfRule type="expression" dxfId="340" priority="17" stopIfTrue="1">
      <formula>AND(D20=1+D19,G20=X20)</formula>
    </cfRule>
  </conditionalFormatting>
  <conditionalFormatting sqref="C9:J9">
    <cfRule type="expression" dxfId="339" priority="72" stopIfTrue="1">
      <formula>AND(ISNUMBER(C$9),ISNUMBER(C10),(C$9&gt;C$10))</formula>
    </cfRule>
  </conditionalFormatting>
  <conditionalFormatting sqref="C10:J10">
    <cfRule type="expression" dxfId="338" priority="78" stopIfTrue="1">
      <formula>AND(ISNUMBER(C$9),ISNUMBER(C10),(C$9&gt;C$10))</formula>
    </cfRule>
  </conditionalFormatting>
  <conditionalFormatting sqref="D20">
    <cfRule type="expression" dxfId="337" priority="19" stopIfTrue="1">
      <formula>AND($G20&lt;&gt;"- -",$G20&lt;&gt;$Y20)</formula>
    </cfRule>
    <cfRule type="expression" dxfId="336" priority="20" stopIfTrue="1">
      <formula>($AI20=1)</formula>
    </cfRule>
  </conditionalFormatting>
  <conditionalFormatting sqref="D21:D194">
    <cfRule type="expression" dxfId="335" priority="64" stopIfTrue="1">
      <formula>($AI21=1)</formula>
    </cfRule>
    <cfRule type="expression" dxfId="334" priority="63" stopIfTrue="1">
      <formula>AND($G21&lt;&gt;"- -",$G21&lt;&gt;$Y21)</formula>
    </cfRule>
  </conditionalFormatting>
  <conditionalFormatting sqref="D18:G19">
    <cfRule type="expression" dxfId="333" priority="39" stopIfTrue="1">
      <formula>($AB$16&lt;2)</formula>
    </cfRule>
  </conditionalFormatting>
  <conditionalFormatting sqref="D20:G194">
    <cfRule type="expression" dxfId="332" priority="18" stopIfTrue="1">
      <formula>OR($G20=$G19,$D20=$D19)</formula>
    </cfRule>
  </conditionalFormatting>
  <conditionalFormatting sqref="E8:F8">
    <cfRule type="expression" dxfId="331" priority="74" stopIfTrue="1">
      <formula>AND(ISNUMBER(E$9),ISNUMBER(E10),(E$9&gt;E$10))</formula>
    </cfRule>
    <cfRule type="expression" dxfId="330" priority="73" stopIfTrue="1">
      <formula>(BJ$13&gt;0)</formula>
    </cfRule>
  </conditionalFormatting>
  <conditionalFormatting sqref="E20:G20">
    <cfRule type="expression" dxfId="329" priority="23" stopIfTrue="1">
      <formula>($AI20+$AX20&gt;0)</formula>
    </cfRule>
    <cfRule type="expression" dxfId="328" priority="22" stopIfTrue="1">
      <formula>AND($G20&lt;&gt;"- -",$G20&lt;&gt;$Y20)</formula>
    </cfRule>
  </conditionalFormatting>
  <conditionalFormatting sqref="E21:G194">
    <cfRule type="expression" dxfId="327" priority="67" stopIfTrue="1">
      <formula>($AI21+$AX21&gt;0)</formula>
    </cfRule>
    <cfRule type="expression" dxfId="326" priority="66" stopIfTrue="1">
      <formula>AND($G21&lt;&gt;"- -",$G21&lt;&gt;$Y21)</formula>
    </cfRule>
  </conditionalFormatting>
  <conditionalFormatting sqref="G8:J8">
    <cfRule type="expression" dxfId="325" priority="76" stopIfTrue="1">
      <formula>AND(ISNUMBER(G$9),ISNUMBER(G10),(G$9&gt;G$10))</formula>
    </cfRule>
    <cfRule type="expression" dxfId="324" priority="75" stopIfTrue="1">
      <formula>(BK$13&gt;0)</formula>
    </cfRule>
  </conditionalFormatting>
  <conditionalFormatting sqref="H6:I7">
    <cfRule type="expression" dxfId="323" priority="77" stopIfTrue="1">
      <formula>AND(ISNUMBER($H$7),$H$7&lt;$I$7)</formula>
    </cfRule>
  </conditionalFormatting>
  <conditionalFormatting sqref="H21:J194">
    <cfRule type="expression" dxfId="322" priority="5" stopIfTrue="1">
      <formula>($D20=$D21)</formula>
    </cfRule>
  </conditionalFormatting>
  <conditionalFormatting sqref="J7">
    <cfRule type="cellIs" dxfId="321" priority="51" stopIfTrue="1" operator="lessThan">
      <formula>0</formula>
    </cfRule>
  </conditionalFormatting>
  <conditionalFormatting sqref="K20:K34">
    <cfRule type="expression" dxfId="320" priority="71" stopIfTrue="1">
      <formula>AND(ISNUMBER(K20),ISNUMBER(L20),OR(K20&lt;L19,K20&gt;L20))</formula>
    </cfRule>
  </conditionalFormatting>
  <conditionalFormatting sqref="K35:K194">
    <cfRule type="expression" dxfId="319" priority="60" stopIfTrue="1">
      <formula>AND(ISNUMBER(K35),OR(K35&lt;L34,K35&gt;L35,$BM35&lt;&gt;1))</formula>
    </cfRule>
  </conditionalFormatting>
  <conditionalFormatting sqref="K18:L18 BE19:BF19">
    <cfRule type="expression" dxfId="318" priority="29" stopIfTrue="1">
      <formula>($K$19=$AL$7)</formula>
    </cfRule>
  </conditionalFormatting>
  <conditionalFormatting sqref="K20:M194">
    <cfRule type="expression" dxfId="317" priority="53" stopIfTrue="1">
      <formula>OR($AJ$2=$AF$5,$AW20=0,$AV20=1,$AG20=99)</formula>
    </cfRule>
  </conditionalFormatting>
  <conditionalFormatting sqref="L20:L34">
    <cfRule type="expression" dxfId="316" priority="69" stopIfTrue="1">
      <formula>AND(ISNUMBER(L20),OR(AND(L20&lt;K19,B20&gt;1),K20&gt;L20))</formula>
    </cfRule>
  </conditionalFormatting>
  <conditionalFormatting sqref="L35:L194">
    <cfRule type="expression" dxfId="315" priority="58" stopIfTrue="1">
      <formula>AND(ISNUMBER(L35),OR(AND(L35&lt;K34,B35&gt;1),K35&gt;L35,$BN35&lt;&gt;1))</formula>
    </cfRule>
  </conditionalFormatting>
  <conditionalFormatting sqref="M19 BG20">
    <cfRule type="cellIs" dxfId="314" priority="44" stopIfTrue="1" operator="equal">
      <formula>0</formula>
    </cfRule>
    <cfRule type="expression" dxfId="313" priority="45" stopIfTrue="1">
      <formula>($AJ$2=$AF$5)</formula>
    </cfRule>
  </conditionalFormatting>
  <conditionalFormatting sqref="M20:M194">
    <cfRule type="cellIs" dxfId="312" priority="54" stopIfTrue="1" operator="lessThan">
      <formula>0</formula>
    </cfRule>
    <cfRule type="expression" dxfId="311" priority="55" stopIfTrue="1">
      <formula>($D19=$D20)</formula>
    </cfRule>
  </conditionalFormatting>
  <conditionalFormatting sqref="N19:Q19 BH20:BK20">
    <cfRule type="cellIs" dxfId="310" priority="42" stopIfTrue="1" operator="equal">
      <formula>0</formula>
    </cfRule>
    <cfRule type="expression" dxfId="309" priority="43" stopIfTrue="1">
      <formula>($AJ$2=$AF$5)</formula>
    </cfRule>
  </conditionalFormatting>
  <conditionalFormatting sqref="N20:Q194">
    <cfRule type="expression" dxfId="308" priority="52" stopIfTrue="1">
      <formula>OR($AW20=0,$AV20=1,$AG20=99,$AJ$2=$AF$5)</formula>
    </cfRule>
  </conditionalFormatting>
  <conditionalFormatting sqref="R20:R194">
    <cfRule type="expression" dxfId="307" priority="14" stopIfTrue="1">
      <formula>($AI20=1)</formula>
    </cfRule>
    <cfRule type="expression" dxfId="306" priority="13" stopIfTrue="1">
      <formula>"ND($G21&lt;&gt;""- -"",$G21&lt;&gt;TEXT(X21,""Dddd, Mmmm dd, Yyyy""))"</formula>
    </cfRule>
    <cfRule type="expression" dxfId="305" priority="12" stopIfTrue="1">
      <formula>OR($G20=$G19,$D20=$D19)</formula>
    </cfRule>
  </conditionalFormatting>
  <conditionalFormatting sqref="U5">
    <cfRule type="expression" dxfId="304" priority="25" stopIfTrue="1">
      <formula>OR($AC$7,$AC$6)</formula>
    </cfRule>
  </conditionalFormatting>
  <conditionalFormatting sqref="U18 X20:Z194 AC20:AE194 AK20:AK194 AQ20:AR194">
    <cfRule type="cellIs" dxfId="303" priority="6" stopIfTrue="1" operator="notEqual">
      <formula>U17</formula>
    </cfRule>
  </conditionalFormatting>
  <conditionalFormatting sqref="U201:AB201">
    <cfRule type="expression" dxfId="302" priority="41" stopIfTrue="1">
      <formula>(LEN($X$11)&gt;4)</formula>
    </cfRule>
  </conditionalFormatting>
  <conditionalFormatting sqref="V5:V7 J6 U6:U7">
    <cfRule type="expression" dxfId="301" priority="24" stopIfTrue="1">
      <formula>OR($AC$7,$AC$6,#REF!)</formula>
    </cfRule>
  </conditionalFormatting>
  <conditionalFormatting sqref="V19">
    <cfRule type="cellIs" dxfId="300" priority="26" stopIfTrue="1" operator="equal">
      <formula>1</formula>
    </cfRule>
  </conditionalFormatting>
  <conditionalFormatting sqref="AB6">
    <cfRule type="expression" dxfId="299" priority="32" stopIfTrue="1">
      <formula>$AC$6</formula>
    </cfRule>
  </conditionalFormatting>
  <conditionalFormatting sqref="AB7">
    <cfRule type="expression" dxfId="298" priority="31" stopIfTrue="1">
      <formula>$AC$7</formula>
    </cfRule>
  </conditionalFormatting>
  <conditionalFormatting sqref="AB20:AB194">
    <cfRule type="cellIs" dxfId="297" priority="49" stopIfTrue="1" operator="greaterThan">
      <formula>0</formula>
    </cfRule>
    <cfRule type="cellIs" dxfId="296" priority="50" stopIfTrue="1" operator="lessThan">
      <formula>0</formula>
    </cfRule>
  </conditionalFormatting>
  <conditionalFormatting sqref="AF20:AG194">
    <cfRule type="cellIs" dxfId="295" priority="35" stopIfTrue="1" operator="greaterThan">
      <formula>1</formula>
    </cfRule>
  </conditionalFormatting>
  <conditionalFormatting sqref="AJ16:AJ17 AJ20:AJ194">
    <cfRule type="cellIs" dxfId="294" priority="34" stopIfTrue="1" operator="greaterThan">
      <formula>0</formula>
    </cfRule>
  </conditionalFormatting>
  <conditionalFormatting sqref="AK2:BO2">
    <cfRule type="cellIs" dxfId="293" priority="38" stopIfTrue="1" operator="equal">
      <formula>0</formula>
    </cfRule>
  </conditionalFormatting>
  <conditionalFormatting sqref="AK5:BO6">
    <cfRule type="cellIs" dxfId="292" priority="33" stopIfTrue="1" operator="equal">
      <formula>0</formula>
    </cfRule>
  </conditionalFormatting>
  <conditionalFormatting sqref="AP20:AP194">
    <cfRule type="cellIs" dxfId="291" priority="28" stopIfTrue="1" operator="lessThan">
      <formula>999</formula>
    </cfRule>
  </conditionalFormatting>
  <conditionalFormatting sqref="AU20:AU194">
    <cfRule type="expression" dxfId="290" priority="37" stopIfTrue="1">
      <formula>LEN(AU20)&gt;2</formula>
    </cfRule>
  </conditionalFormatting>
  <conditionalFormatting sqref="AV20:AV194">
    <cfRule type="cellIs" dxfId="289" priority="36" stopIfTrue="1" operator="equal">
      <formula>1</formula>
    </cfRule>
  </conditionalFormatting>
  <conditionalFormatting sqref="AW20:AW194">
    <cfRule type="cellIs" dxfId="288" priority="48" stopIfTrue="1" operator="equal">
      <formula>0</formula>
    </cfRule>
  </conditionalFormatting>
  <conditionalFormatting sqref="BE20:BF20">
    <cfRule type="expression" dxfId="287" priority="30" stopIfTrue="1">
      <formula>($K$19=$AL$7)</formula>
    </cfRule>
  </conditionalFormatting>
  <conditionalFormatting sqref="BI10:BI12 BF11:BF12">
    <cfRule type="expression" dxfId="286" priority="9" stopIfTrue="1">
      <formula>(LEN($C$9)=0)</formula>
    </cfRule>
  </conditionalFormatting>
  <conditionalFormatting sqref="BI10:BN12 BF11:BF12">
    <cfRule type="expression" dxfId="285" priority="8" stopIfTrue="1">
      <formula>LEN($AA9)&gt;4</formula>
    </cfRule>
  </conditionalFormatting>
  <conditionalFormatting sqref="BJ10:BN12">
    <cfRule type="expression" dxfId="284" priority="11" stopIfTrue="1">
      <formula>(LEN(E$9)=0)</formula>
    </cfRule>
  </conditionalFormatting>
  <conditionalFormatting sqref="BJ13:BN13 R16:R17">
    <cfRule type="cellIs" dxfId="283" priority="27" stopIfTrue="1" operator="equal">
      <formula>0</formula>
    </cfRule>
  </conditionalFormatting>
  <conditionalFormatting sqref="BM20:BN194">
    <cfRule type="cellIs" dxfId="282" priority="56" stopIfTrue="1" operator="notEqual">
      <formula>1</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automobile/2026/[electronic-car-log-2025-fr.xlsx]09</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09</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30</v>
      </c>
      <c r="BQ4" s="251"/>
      <c r="BR4" s="7"/>
      <c r="BS4" s="7"/>
      <c r="BT4" s="7"/>
      <c r="IU4" s="16"/>
    </row>
    <row r="5" spans="1:255" ht="15.75" customHeight="1">
      <c r="B5" s="767" t="str">
        <f ca="1">V17</f>
        <v>septembre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September</v>
      </c>
      <c r="AF5" s="136">
        <f ca="1">DATE(AE7,AD6+1,1)-DATE(AE7,AD6,1)</f>
        <v>30</v>
      </c>
      <c r="AG5" s="178" t="str">
        <f ca="1">'NTS ONLY_set_year'!E104&amp;$AF$5&amp;'NTS ONLY_set_year'!E7</f>
        <v>◄ ◄ ◄ Seulement 30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30</v>
      </c>
      <c r="V6" s="263" t="str">
        <f>'NTS ONLY_set_year'!E53</f>
        <v>Jours de disponibilité du véhicule à des fins personnelles</v>
      </c>
      <c r="W6" s="264"/>
      <c r="X6" s="264"/>
      <c r="Y6" s="264"/>
      <c r="Z6" s="264"/>
      <c r="AA6" s="265">
        <f>$D$7</f>
        <v>0</v>
      </c>
      <c r="AB6" s="141"/>
      <c r="AC6" s="142"/>
      <c r="AD6" s="266">
        <f ca="1">MATCH(AD4,'Annual Summary_Sommaire annuel'!$Y$24:$Y$35,0)</f>
        <v>9</v>
      </c>
      <c r="AE6" s="144" t="str">
        <f ca="1">TEXT(DATE($AE$7,$AD$6,1),"Mmmm, YYYY")</f>
        <v>September, 2026</v>
      </c>
      <c r="AF6" s="145">
        <f ca="1">$AF$5</f>
        <v>30</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30</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46265</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30</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30</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septembre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September</v>
      </c>
      <c r="V18" s="510" t="str">
        <f ca="1">AE6</f>
        <v>September,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septembre</v>
      </c>
      <c r="V19" s="510" t="str">
        <f ca="1">U19&amp;" "&amp;Year_four_digits</f>
        <v>septembre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Mar.  1 septembre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Mar</v>
      </c>
      <c r="U20" s="186" t="str">
        <f ca="1">$U$19</f>
        <v>septembre</v>
      </c>
      <c r="X20" s="347">
        <f ca="1">$AE$8+D20</f>
        <v>46266</v>
      </c>
      <c r="Y20" s="452" t="str">
        <f ca="1">IF(Y14="f",T20&amp;". "&amp;" "&amp;R20&amp;" "&amp;U20&amp;" "&amp;$AE$7,T20&amp;". "&amp;U20&amp;" "&amp;R20&amp;", "&amp;$AE$7)</f>
        <v>Mar.  1 septembre 2026</v>
      </c>
      <c r="Z20" s="143">
        <f t="shared" ref="Z20:Z83" ca="1" si="4">MIN(R20,$AF$5)</f>
        <v>1</v>
      </c>
      <c r="AA20" s="348">
        <f t="shared" ref="AA20:AA83" ca="1" si="5">$AD$6</f>
        <v>9</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30</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Lun</v>
      </c>
      <c r="U21" s="186" t="str">
        <f t="shared" ref="U21:U84" ca="1" si="13">$U$19</f>
        <v>septembre</v>
      </c>
      <c r="X21" s="347">
        <f ca="1">$AE$8+D21</f>
        <v>46265</v>
      </c>
      <c r="Y21" s="452" t="str">
        <f t="shared" ref="Y21:Y84" ca="1" si="14">IF(Y15="f",T21&amp;". "&amp;" "&amp;R21&amp;" "&amp;U21&amp;" "&amp;$AE$7,T21&amp;". "&amp;U21&amp;" "&amp;R21&amp;", "&amp;$AE$7)</f>
        <v>Lun. septembre , 2026</v>
      </c>
      <c r="Z21" s="143">
        <f t="shared" ca="1" si="4"/>
        <v>30</v>
      </c>
      <c r="AA21" s="348">
        <f t="shared" ca="1" si="5"/>
        <v>9</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Lun</v>
      </c>
      <c r="U22" s="186" t="str">
        <f t="shared" ca="1" si="13"/>
        <v>septembre</v>
      </c>
      <c r="X22" s="347">
        <f t="shared" ref="X22:X85" ca="1" si="17">$AE$8+D22</f>
        <v>46265</v>
      </c>
      <c r="Y22" s="452" t="str">
        <f t="shared" ca="1" si="14"/>
        <v>Lun. septembre , 2026</v>
      </c>
      <c r="Z22" s="143">
        <f t="shared" ca="1" si="4"/>
        <v>30</v>
      </c>
      <c r="AA22" s="348">
        <f t="shared" ca="1" si="5"/>
        <v>9</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Lun</v>
      </c>
      <c r="U23" s="186" t="str">
        <f t="shared" ca="1" si="13"/>
        <v>septembre</v>
      </c>
      <c r="X23" s="347">
        <f t="shared" ca="1" si="17"/>
        <v>46265</v>
      </c>
      <c r="Y23" s="452" t="str">
        <f t="shared" ca="1" si="14"/>
        <v>Lun. septembre , 2026</v>
      </c>
      <c r="Z23" s="143">
        <f t="shared" ca="1" si="4"/>
        <v>30</v>
      </c>
      <c r="AA23" s="348">
        <f t="shared" ca="1" si="5"/>
        <v>9</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Lun</v>
      </c>
      <c r="U24" s="186" t="str">
        <f t="shared" ca="1" si="13"/>
        <v>septembre</v>
      </c>
      <c r="X24" s="347">
        <f t="shared" ca="1" si="17"/>
        <v>46265</v>
      </c>
      <c r="Y24" s="452" t="str">
        <f t="shared" ca="1" si="14"/>
        <v>Lun. septembre , 2026</v>
      </c>
      <c r="Z24" s="143">
        <f t="shared" ca="1" si="4"/>
        <v>30</v>
      </c>
      <c r="AA24" s="348">
        <f t="shared" ca="1" si="5"/>
        <v>9</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Lun</v>
      </c>
      <c r="U25" s="186" t="str">
        <f t="shared" ca="1" si="13"/>
        <v>septembre</v>
      </c>
      <c r="X25" s="347">
        <f t="shared" ca="1" si="17"/>
        <v>46265</v>
      </c>
      <c r="Y25" s="452" t="str">
        <f t="shared" ca="1" si="14"/>
        <v>Lun. septembre , 2026</v>
      </c>
      <c r="Z25" s="143">
        <f t="shared" ca="1" si="4"/>
        <v>30</v>
      </c>
      <c r="AA25" s="348">
        <f t="shared" ca="1" si="5"/>
        <v>9</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Lun</v>
      </c>
      <c r="U26" s="186" t="str">
        <f t="shared" ca="1" si="13"/>
        <v>septembre</v>
      </c>
      <c r="X26" s="347">
        <f t="shared" ca="1" si="17"/>
        <v>46265</v>
      </c>
      <c r="Y26" s="452" t="str">
        <f t="shared" ca="1" si="14"/>
        <v>Lun. septembre , 2026</v>
      </c>
      <c r="Z26" s="143">
        <f t="shared" ca="1" si="4"/>
        <v>30</v>
      </c>
      <c r="AA26" s="348">
        <f t="shared" ca="1" si="5"/>
        <v>9</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Lun</v>
      </c>
      <c r="U27" s="186" t="str">
        <f t="shared" ca="1" si="13"/>
        <v>septembre</v>
      </c>
      <c r="X27" s="347">
        <f t="shared" ca="1" si="17"/>
        <v>46265</v>
      </c>
      <c r="Y27" s="452" t="str">
        <f t="shared" ca="1" si="14"/>
        <v>Lun. septembre , 2026</v>
      </c>
      <c r="Z27" s="143">
        <f t="shared" ca="1" si="4"/>
        <v>30</v>
      </c>
      <c r="AA27" s="348">
        <f t="shared" ca="1" si="5"/>
        <v>9</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Lun</v>
      </c>
      <c r="U28" s="186" t="str">
        <f t="shared" ca="1" si="13"/>
        <v>septembre</v>
      </c>
      <c r="X28" s="347">
        <f t="shared" ca="1" si="17"/>
        <v>46265</v>
      </c>
      <c r="Y28" s="452" t="str">
        <f t="shared" ca="1" si="14"/>
        <v>Lun. septembre , 2026</v>
      </c>
      <c r="Z28" s="143">
        <f t="shared" ca="1" si="4"/>
        <v>30</v>
      </c>
      <c r="AA28" s="348">
        <f t="shared" ca="1" si="5"/>
        <v>9</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Lun</v>
      </c>
      <c r="U29" s="186" t="str">
        <f t="shared" ca="1" si="13"/>
        <v>septembre</v>
      </c>
      <c r="X29" s="347">
        <f t="shared" ca="1" si="17"/>
        <v>46265</v>
      </c>
      <c r="Y29" s="452" t="str">
        <f t="shared" ca="1" si="14"/>
        <v>Lun. septembre , 2026</v>
      </c>
      <c r="Z29" s="143">
        <f t="shared" ca="1" si="4"/>
        <v>30</v>
      </c>
      <c r="AA29" s="348">
        <f t="shared" ca="1" si="5"/>
        <v>9</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Lun</v>
      </c>
      <c r="U30" s="186" t="str">
        <f t="shared" ca="1" si="13"/>
        <v>septembre</v>
      </c>
      <c r="X30" s="347">
        <f t="shared" ca="1" si="17"/>
        <v>46265</v>
      </c>
      <c r="Y30" s="452" t="str">
        <f t="shared" ca="1" si="14"/>
        <v>Lun. septembre , 2026</v>
      </c>
      <c r="Z30" s="143">
        <f t="shared" ca="1" si="4"/>
        <v>30</v>
      </c>
      <c r="AA30" s="348">
        <f t="shared" ca="1" si="5"/>
        <v>9</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Lun</v>
      </c>
      <c r="U31" s="186" t="str">
        <f t="shared" ca="1" si="13"/>
        <v>septembre</v>
      </c>
      <c r="X31" s="347">
        <f t="shared" ca="1" si="17"/>
        <v>46265</v>
      </c>
      <c r="Y31" s="452" t="str">
        <f t="shared" ca="1" si="14"/>
        <v>Lun. septembre , 2026</v>
      </c>
      <c r="Z31" s="143">
        <f t="shared" ca="1" si="4"/>
        <v>30</v>
      </c>
      <c r="AA31" s="348">
        <f t="shared" ca="1" si="5"/>
        <v>9</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Lun</v>
      </c>
      <c r="U32" s="186" t="str">
        <f t="shared" ca="1" si="13"/>
        <v>septembre</v>
      </c>
      <c r="X32" s="347">
        <f t="shared" ca="1" si="17"/>
        <v>46265</v>
      </c>
      <c r="Y32" s="452" t="str">
        <f t="shared" ca="1" si="14"/>
        <v>Lun. septembre , 2026</v>
      </c>
      <c r="Z32" s="143">
        <f t="shared" ca="1" si="4"/>
        <v>30</v>
      </c>
      <c r="AA32" s="348">
        <f t="shared" ca="1" si="5"/>
        <v>9</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Lun</v>
      </c>
      <c r="U33" s="186" t="str">
        <f t="shared" ca="1" si="13"/>
        <v>septembre</v>
      </c>
      <c r="X33" s="347">
        <f t="shared" ca="1" si="17"/>
        <v>46265</v>
      </c>
      <c r="Y33" s="452" t="str">
        <f t="shared" ca="1" si="14"/>
        <v>Lun. septembre , 2026</v>
      </c>
      <c r="Z33" s="143">
        <f t="shared" ca="1" si="4"/>
        <v>30</v>
      </c>
      <c r="AA33" s="348">
        <f t="shared" ca="1" si="5"/>
        <v>9</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Lun</v>
      </c>
      <c r="U34" s="186" t="str">
        <f t="shared" ca="1" si="13"/>
        <v>septembre</v>
      </c>
      <c r="X34" s="347">
        <f t="shared" ca="1" si="17"/>
        <v>46265</v>
      </c>
      <c r="Y34" s="452" t="str">
        <f t="shared" ca="1" si="14"/>
        <v>Lun. septembre , 2026</v>
      </c>
      <c r="Z34" s="143">
        <f t="shared" ca="1" si="4"/>
        <v>30</v>
      </c>
      <c r="AA34" s="348">
        <f t="shared" ca="1" si="5"/>
        <v>9</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Lun</v>
      </c>
      <c r="U35" s="186" t="str">
        <f t="shared" ca="1" si="13"/>
        <v>septembre</v>
      </c>
      <c r="X35" s="347">
        <f t="shared" ca="1" si="17"/>
        <v>46265</v>
      </c>
      <c r="Y35" s="452" t="str">
        <f t="shared" ca="1" si="14"/>
        <v>Lun. septembre , 2026</v>
      </c>
      <c r="Z35" s="143">
        <f t="shared" ca="1" si="4"/>
        <v>30</v>
      </c>
      <c r="AA35" s="348">
        <f t="shared" ca="1" si="5"/>
        <v>9</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Lun</v>
      </c>
      <c r="U36" s="186" t="str">
        <f t="shared" ca="1" si="13"/>
        <v>septembre</v>
      </c>
      <c r="X36" s="347">
        <f t="shared" ca="1" si="17"/>
        <v>46265</v>
      </c>
      <c r="Y36" s="452" t="str">
        <f t="shared" ca="1" si="14"/>
        <v>Lun. septembre , 2026</v>
      </c>
      <c r="Z36" s="143">
        <f t="shared" ca="1" si="4"/>
        <v>30</v>
      </c>
      <c r="AA36" s="348">
        <f t="shared" ca="1" si="5"/>
        <v>9</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Lun</v>
      </c>
      <c r="U37" s="186" t="str">
        <f t="shared" ca="1" si="13"/>
        <v>septembre</v>
      </c>
      <c r="X37" s="347">
        <f t="shared" ca="1" si="17"/>
        <v>46265</v>
      </c>
      <c r="Y37" s="452" t="str">
        <f t="shared" ca="1" si="14"/>
        <v>Lun. septembre , 2026</v>
      </c>
      <c r="Z37" s="143">
        <f t="shared" ca="1" si="4"/>
        <v>30</v>
      </c>
      <c r="AA37" s="348">
        <f t="shared" ca="1" si="5"/>
        <v>9</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Lun</v>
      </c>
      <c r="U38" s="186" t="str">
        <f t="shared" ca="1" si="13"/>
        <v>septembre</v>
      </c>
      <c r="X38" s="347">
        <f t="shared" ca="1" si="17"/>
        <v>46265</v>
      </c>
      <c r="Y38" s="452" t="str">
        <f t="shared" ca="1" si="14"/>
        <v>Lun. septembre , 2026</v>
      </c>
      <c r="Z38" s="143">
        <f t="shared" ca="1" si="4"/>
        <v>30</v>
      </c>
      <c r="AA38" s="348">
        <f t="shared" ca="1" si="5"/>
        <v>9</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Lun</v>
      </c>
      <c r="U39" s="186" t="str">
        <f t="shared" ca="1" si="13"/>
        <v>septembre</v>
      </c>
      <c r="X39" s="347">
        <f t="shared" ca="1" si="17"/>
        <v>46265</v>
      </c>
      <c r="Y39" s="452" t="str">
        <f t="shared" ca="1" si="14"/>
        <v>Lun. septembre , 2026</v>
      </c>
      <c r="Z39" s="143">
        <f t="shared" ca="1" si="4"/>
        <v>30</v>
      </c>
      <c r="AA39" s="348">
        <f t="shared" ca="1" si="5"/>
        <v>9</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Lun</v>
      </c>
      <c r="U40" s="186" t="str">
        <f t="shared" ca="1" si="13"/>
        <v>septembre</v>
      </c>
      <c r="X40" s="347">
        <f t="shared" ca="1" si="17"/>
        <v>46265</v>
      </c>
      <c r="Y40" s="452" t="str">
        <f t="shared" ca="1" si="14"/>
        <v>Lun. septembre , 2026</v>
      </c>
      <c r="Z40" s="143">
        <f t="shared" ca="1" si="4"/>
        <v>30</v>
      </c>
      <c r="AA40" s="348">
        <f t="shared" ca="1" si="5"/>
        <v>9</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Lun</v>
      </c>
      <c r="U41" s="186" t="str">
        <f t="shared" ca="1" si="13"/>
        <v>septembre</v>
      </c>
      <c r="X41" s="347">
        <f t="shared" ca="1" si="17"/>
        <v>46265</v>
      </c>
      <c r="Y41" s="452" t="str">
        <f t="shared" ca="1" si="14"/>
        <v>Lun. septembre , 2026</v>
      </c>
      <c r="Z41" s="143">
        <f t="shared" ca="1" si="4"/>
        <v>30</v>
      </c>
      <c r="AA41" s="348">
        <f t="shared" ca="1" si="5"/>
        <v>9</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Lun</v>
      </c>
      <c r="U42" s="186" t="str">
        <f t="shared" ca="1" si="13"/>
        <v>septembre</v>
      </c>
      <c r="X42" s="347">
        <f t="shared" ca="1" si="17"/>
        <v>46265</v>
      </c>
      <c r="Y42" s="452" t="str">
        <f t="shared" ca="1" si="14"/>
        <v>Lun. septembre , 2026</v>
      </c>
      <c r="Z42" s="143">
        <f t="shared" ca="1" si="4"/>
        <v>30</v>
      </c>
      <c r="AA42" s="348">
        <f t="shared" ca="1" si="5"/>
        <v>9</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Lun</v>
      </c>
      <c r="U43" s="186" t="str">
        <f t="shared" ca="1" si="13"/>
        <v>septembre</v>
      </c>
      <c r="X43" s="347">
        <f t="shared" ca="1" si="17"/>
        <v>46265</v>
      </c>
      <c r="Y43" s="452" t="str">
        <f t="shared" ca="1" si="14"/>
        <v>Lun. septembre , 2026</v>
      </c>
      <c r="Z43" s="143">
        <f t="shared" ca="1" si="4"/>
        <v>30</v>
      </c>
      <c r="AA43" s="348">
        <f t="shared" ca="1" si="5"/>
        <v>9</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Lun</v>
      </c>
      <c r="U44" s="186" t="str">
        <f t="shared" ca="1" si="13"/>
        <v>septembre</v>
      </c>
      <c r="X44" s="347">
        <f t="shared" ca="1" si="17"/>
        <v>46265</v>
      </c>
      <c r="Y44" s="452" t="str">
        <f t="shared" ca="1" si="14"/>
        <v>Lun. septembre , 2026</v>
      </c>
      <c r="Z44" s="143">
        <f t="shared" ca="1" si="4"/>
        <v>30</v>
      </c>
      <c r="AA44" s="348">
        <f t="shared" ca="1" si="5"/>
        <v>9</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Lun</v>
      </c>
      <c r="U45" s="186" t="str">
        <f t="shared" ca="1" si="13"/>
        <v>septembre</v>
      </c>
      <c r="X45" s="347">
        <f t="shared" ca="1" si="17"/>
        <v>46265</v>
      </c>
      <c r="Y45" s="452" t="str">
        <f t="shared" ca="1" si="14"/>
        <v>Lun. septembre , 2026</v>
      </c>
      <c r="Z45" s="143">
        <f t="shared" ca="1" si="4"/>
        <v>30</v>
      </c>
      <c r="AA45" s="348">
        <f t="shared" ca="1" si="5"/>
        <v>9</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Lun</v>
      </c>
      <c r="U46" s="186" t="str">
        <f t="shared" ca="1" si="13"/>
        <v>septembre</v>
      </c>
      <c r="X46" s="347">
        <f t="shared" ca="1" si="17"/>
        <v>46265</v>
      </c>
      <c r="Y46" s="452" t="str">
        <f t="shared" ca="1" si="14"/>
        <v>Lun. septembre , 2026</v>
      </c>
      <c r="Z46" s="143">
        <f t="shared" ca="1" si="4"/>
        <v>30</v>
      </c>
      <c r="AA46" s="348">
        <f t="shared" ca="1" si="5"/>
        <v>9</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Lun</v>
      </c>
      <c r="U47" s="186" t="str">
        <f t="shared" ca="1" si="13"/>
        <v>septembre</v>
      </c>
      <c r="X47" s="347">
        <f t="shared" ca="1" si="17"/>
        <v>46265</v>
      </c>
      <c r="Y47" s="452" t="str">
        <f t="shared" ca="1" si="14"/>
        <v>Lun. septembre , 2026</v>
      </c>
      <c r="Z47" s="143">
        <f t="shared" ca="1" si="4"/>
        <v>30</v>
      </c>
      <c r="AA47" s="348">
        <f t="shared" ca="1" si="5"/>
        <v>9</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Lun</v>
      </c>
      <c r="U48" s="186" t="str">
        <f t="shared" ca="1" si="13"/>
        <v>septembre</v>
      </c>
      <c r="X48" s="347">
        <f t="shared" ca="1" si="17"/>
        <v>46265</v>
      </c>
      <c r="Y48" s="452" t="str">
        <f t="shared" ca="1" si="14"/>
        <v>Lun. septembre , 2026</v>
      </c>
      <c r="Z48" s="143">
        <f t="shared" ca="1" si="4"/>
        <v>30</v>
      </c>
      <c r="AA48" s="348">
        <f t="shared" ca="1" si="5"/>
        <v>9</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Lun</v>
      </c>
      <c r="U49" s="186" t="str">
        <f t="shared" ca="1" si="13"/>
        <v>septembre</v>
      </c>
      <c r="X49" s="347">
        <f t="shared" ca="1" si="17"/>
        <v>46265</v>
      </c>
      <c r="Y49" s="452" t="str">
        <f t="shared" ca="1" si="14"/>
        <v>Lun. septembre , 2026</v>
      </c>
      <c r="Z49" s="143">
        <f t="shared" ca="1" si="4"/>
        <v>30</v>
      </c>
      <c r="AA49" s="348">
        <f t="shared" ca="1" si="5"/>
        <v>9</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Lun</v>
      </c>
      <c r="U50" s="186" t="str">
        <f t="shared" ca="1" si="13"/>
        <v>septembre</v>
      </c>
      <c r="X50" s="347">
        <f t="shared" ca="1" si="17"/>
        <v>46265</v>
      </c>
      <c r="Y50" s="452" t="str">
        <f t="shared" ca="1" si="14"/>
        <v>Lun. septembre , 2026</v>
      </c>
      <c r="Z50" s="143">
        <f t="shared" ca="1" si="4"/>
        <v>30</v>
      </c>
      <c r="AA50" s="348">
        <f t="shared" ca="1" si="5"/>
        <v>9</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Lun</v>
      </c>
      <c r="U51" s="186" t="str">
        <f t="shared" ca="1" si="13"/>
        <v>septembre</v>
      </c>
      <c r="X51" s="347">
        <f t="shared" ca="1" si="17"/>
        <v>46265</v>
      </c>
      <c r="Y51" s="452" t="str">
        <f t="shared" ca="1" si="14"/>
        <v>Lun. septembre , 2026</v>
      </c>
      <c r="Z51" s="143">
        <f t="shared" ca="1" si="4"/>
        <v>30</v>
      </c>
      <c r="AA51" s="348">
        <f t="shared" ca="1" si="5"/>
        <v>9</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Lun</v>
      </c>
      <c r="U52" s="186" t="str">
        <f t="shared" ca="1" si="13"/>
        <v>septembre</v>
      </c>
      <c r="X52" s="347">
        <f t="shared" ca="1" si="17"/>
        <v>46265</v>
      </c>
      <c r="Y52" s="452" t="str">
        <f t="shared" ca="1" si="14"/>
        <v>Lun. septembre , 2026</v>
      </c>
      <c r="Z52" s="143">
        <f t="shared" ca="1" si="4"/>
        <v>30</v>
      </c>
      <c r="AA52" s="348">
        <f t="shared" ca="1" si="5"/>
        <v>9</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Lun</v>
      </c>
      <c r="U53" s="186" t="str">
        <f t="shared" ca="1" si="13"/>
        <v>septembre</v>
      </c>
      <c r="X53" s="347">
        <f t="shared" ca="1" si="17"/>
        <v>46265</v>
      </c>
      <c r="Y53" s="452" t="str">
        <f t="shared" ca="1" si="14"/>
        <v>Lun. septembre , 2026</v>
      </c>
      <c r="Z53" s="143">
        <f t="shared" ca="1" si="4"/>
        <v>30</v>
      </c>
      <c r="AA53" s="348">
        <f t="shared" ca="1" si="5"/>
        <v>9</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Lun</v>
      </c>
      <c r="U54" s="186" t="str">
        <f t="shared" ca="1" si="13"/>
        <v>septembre</v>
      </c>
      <c r="X54" s="347">
        <f t="shared" ca="1" si="17"/>
        <v>46265</v>
      </c>
      <c r="Y54" s="452" t="str">
        <f t="shared" ca="1" si="14"/>
        <v>Lun. septembre , 2026</v>
      </c>
      <c r="Z54" s="143">
        <f t="shared" ca="1" si="4"/>
        <v>30</v>
      </c>
      <c r="AA54" s="348">
        <f t="shared" ca="1" si="5"/>
        <v>9</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Lun</v>
      </c>
      <c r="U55" s="186" t="str">
        <f t="shared" ca="1" si="13"/>
        <v>septembre</v>
      </c>
      <c r="X55" s="347">
        <f t="shared" ca="1" si="17"/>
        <v>46265</v>
      </c>
      <c r="Y55" s="452" t="str">
        <f t="shared" ca="1" si="14"/>
        <v>Lun. septembre , 2026</v>
      </c>
      <c r="Z55" s="143">
        <f t="shared" ca="1" si="4"/>
        <v>30</v>
      </c>
      <c r="AA55" s="348">
        <f t="shared" ca="1" si="5"/>
        <v>9</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Lun</v>
      </c>
      <c r="U56" s="186" t="str">
        <f t="shared" ca="1" si="13"/>
        <v>septembre</v>
      </c>
      <c r="X56" s="347">
        <f t="shared" ca="1" si="17"/>
        <v>46265</v>
      </c>
      <c r="Y56" s="452" t="str">
        <f t="shared" ca="1" si="14"/>
        <v>Lun. septembre , 2026</v>
      </c>
      <c r="Z56" s="143">
        <f t="shared" ca="1" si="4"/>
        <v>30</v>
      </c>
      <c r="AA56" s="348">
        <f t="shared" ca="1" si="5"/>
        <v>9</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Lun</v>
      </c>
      <c r="U57" s="186" t="str">
        <f t="shared" ca="1" si="13"/>
        <v>septembre</v>
      </c>
      <c r="X57" s="347">
        <f t="shared" ca="1" si="17"/>
        <v>46265</v>
      </c>
      <c r="Y57" s="452" t="str">
        <f t="shared" ca="1" si="14"/>
        <v>Lun. septembre , 2026</v>
      </c>
      <c r="Z57" s="143">
        <f t="shared" ca="1" si="4"/>
        <v>30</v>
      </c>
      <c r="AA57" s="348">
        <f t="shared" ca="1" si="5"/>
        <v>9</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Lun</v>
      </c>
      <c r="U58" s="186" t="str">
        <f t="shared" ca="1" si="13"/>
        <v>septembre</v>
      </c>
      <c r="X58" s="347">
        <f t="shared" ca="1" si="17"/>
        <v>46265</v>
      </c>
      <c r="Y58" s="452" t="str">
        <f t="shared" ca="1" si="14"/>
        <v>Lun. septembre , 2026</v>
      </c>
      <c r="Z58" s="143">
        <f t="shared" ca="1" si="4"/>
        <v>30</v>
      </c>
      <c r="AA58" s="348">
        <f t="shared" ca="1" si="5"/>
        <v>9</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Lun</v>
      </c>
      <c r="U59" s="186" t="str">
        <f t="shared" ca="1" si="13"/>
        <v>septembre</v>
      </c>
      <c r="X59" s="347">
        <f t="shared" ca="1" si="17"/>
        <v>46265</v>
      </c>
      <c r="Y59" s="452" t="str">
        <f t="shared" ca="1" si="14"/>
        <v>Lun. septembre , 2026</v>
      </c>
      <c r="Z59" s="143">
        <f t="shared" ca="1" si="4"/>
        <v>30</v>
      </c>
      <c r="AA59" s="348">
        <f t="shared" ca="1" si="5"/>
        <v>9</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Lun</v>
      </c>
      <c r="U60" s="186" t="str">
        <f t="shared" ca="1" si="13"/>
        <v>septembre</v>
      </c>
      <c r="X60" s="347">
        <f t="shared" ca="1" si="17"/>
        <v>46265</v>
      </c>
      <c r="Y60" s="452" t="str">
        <f t="shared" ca="1" si="14"/>
        <v>Lun. septembre , 2026</v>
      </c>
      <c r="Z60" s="143">
        <f t="shared" ca="1" si="4"/>
        <v>30</v>
      </c>
      <c r="AA60" s="348">
        <f t="shared" ca="1" si="5"/>
        <v>9</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Lun</v>
      </c>
      <c r="U61" s="186" t="str">
        <f t="shared" ca="1" si="13"/>
        <v>septembre</v>
      </c>
      <c r="X61" s="347">
        <f t="shared" ca="1" si="17"/>
        <v>46265</v>
      </c>
      <c r="Y61" s="452" t="str">
        <f t="shared" ca="1" si="14"/>
        <v>Lun. septembre , 2026</v>
      </c>
      <c r="Z61" s="143">
        <f t="shared" ca="1" si="4"/>
        <v>30</v>
      </c>
      <c r="AA61" s="348">
        <f t="shared" ca="1" si="5"/>
        <v>9</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Lun</v>
      </c>
      <c r="U62" s="186" t="str">
        <f t="shared" ca="1" si="13"/>
        <v>septembre</v>
      </c>
      <c r="X62" s="347">
        <f t="shared" ca="1" si="17"/>
        <v>46265</v>
      </c>
      <c r="Y62" s="452" t="str">
        <f t="shared" ca="1" si="14"/>
        <v>Lun. septembre , 2026</v>
      </c>
      <c r="Z62" s="143">
        <f t="shared" ca="1" si="4"/>
        <v>30</v>
      </c>
      <c r="AA62" s="348">
        <f t="shared" ca="1" si="5"/>
        <v>9</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Lun</v>
      </c>
      <c r="U63" s="186" t="str">
        <f t="shared" ca="1" si="13"/>
        <v>septembre</v>
      </c>
      <c r="X63" s="347">
        <f t="shared" ca="1" si="17"/>
        <v>46265</v>
      </c>
      <c r="Y63" s="452" t="str">
        <f t="shared" ca="1" si="14"/>
        <v>Lun. septembre , 2026</v>
      </c>
      <c r="Z63" s="143">
        <f t="shared" ca="1" si="4"/>
        <v>30</v>
      </c>
      <c r="AA63" s="348">
        <f t="shared" ca="1" si="5"/>
        <v>9</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Lun</v>
      </c>
      <c r="U64" s="186" t="str">
        <f t="shared" ca="1" si="13"/>
        <v>septembre</v>
      </c>
      <c r="X64" s="347">
        <f t="shared" ca="1" si="17"/>
        <v>46265</v>
      </c>
      <c r="Y64" s="452" t="str">
        <f t="shared" ca="1" si="14"/>
        <v>Lun. septembre , 2026</v>
      </c>
      <c r="Z64" s="143">
        <f t="shared" ca="1" si="4"/>
        <v>30</v>
      </c>
      <c r="AA64" s="348">
        <f t="shared" ca="1" si="5"/>
        <v>9</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Lun</v>
      </c>
      <c r="U65" s="186" t="str">
        <f t="shared" ca="1" si="13"/>
        <v>septembre</v>
      </c>
      <c r="X65" s="347">
        <f t="shared" ca="1" si="17"/>
        <v>46265</v>
      </c>
      <c r="Y65" s="452" t="str">
        <f t="shared" ca="1" si="14"/>
        <v>Lun. septembre , 2026</v>
      </c>
      <c r="Z65" s="143">
        <f t="shared" ca="1" si="4"/>
        <v>30</v>
      </c>
      <c r="AA65" s="348">
        <f t="shared" ca="1" si="5"/>
        <v>9</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Lun</v>
      </c>
      <c r="U66" s="186" t="str">
        <f t="shared" ca="1" si="13"/>
        <v>septembre</v>
      </c>
      <c r="X66" s="347">
        <f t="shared" ca="1" si="17"/>
        <v>46265</v>
      </c>
      <c r="Y66" s="452" t="str">
        <f t="shared" ca="1" si="14"/>
        <v>Lun. septembre , 2026</v>
      </c>
      <c r="Z66" s="143">
        <f t="shared" ca="1" si="4"/>
        <v>30</v>
      </c>
      <c r="AA66" s="348">
        <f t="shared" ca="1" si="5"/>
        <v>9</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Lun</v>
      </c>
      <c r="U67" s="186" t="str">
        <f t="shared" ca="1" si="13"/>
        <v>septembre</v>
      </c>
      <c r="X67" s="347">
        <f t="shared" ca="1" si="17"/>
        <v>46265</v>
      </c>
      <c r="Y67" s="452" t="str">
        <f t="shared" ca="1" si="14"/>
        <v>Lun. septembre , 2026</v>
      </c>
      <c r="Z67" s="143">
        <f t="shared" ca="1" si="4"/>
        <v>30</v>
      </c>
      <c r="AA67" s="348">
        <f t="shared" ca="1" si="5"/>
        <v>9</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Lun</v>
      </c>
      <c r="U68" s="186" t="str">
        <f t="shared" ca="1" si="13"/>
        <v>septembre</v>
      </c>
      <c r="X68" s="347">
        <f t="shared" ca="1" si="17"/>
        <v>46265</v>
      </c>
      <c r="Y68" s="452" t="str">
        <f t="shared" ca="1" si="14"/>
        <v>Lun. septembre , 2026</v>
      </c>
      <c r="Z68" s="143">
        <f t="shared" ca="1" si="4"/>
        <v>30</v>
      </c>
      <c r="AA68" s="348">
        <f t="shared" ca="1" si="5"/>
        <v>9</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Lun</v>
      </c>
      <c r="U69" s="186" t="str">
        <f t="shared" ca="1" si="13"/>
        <v>septembre</v>
      </c>
      <c r="X69" s="347">
        <f t="shared" ca="1" si="17"/>
        <v>46265</v>
      </c>
      <c r="Y69" s="452" t="str">
        <f t="shared" ca="1" si="14"/>
        <v>Lun. septembre , 2026</v>
      </c>
      <c r="Z69" s="143">
        <f t="shared" ca="1" si="4"/>
        <v>30</v>
      </c>
      <c r="AA69" s="348">
        <f t="shared" ca="1" si="5"/>
        <v>9</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Lun</v>
      </c>
      <c r="U70" s="186" t="str">
        <f t="shared" ca="1" si="13"/>
        <v>septembre</v>
      </c>
      <c r="X70" s="347">
        <f t="shared" ca="1" si="17"/>
        <v>46265</v>
      </c>
      <c r="Y70" s="452" t="str">
        <f t="shared" ca="1" si="14"/>
        <v>Lun. septembre , 2026</v>
      </c>
      <c r="Z70" s="143">
        <f t="shared" ca="1" si="4"/>
        <v>30</v>
      </c>
      <c r="AA70" s="348">
        <f t="shared" ca="1" si="5"/>
        <v>9</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Lun</v>
      </c>
      <c r="U71" s="186" t="str">
        <f t="shared" ca="1" si="13"/>
        <v>septembre</v>
      </c>
      <c r="X71" s="347">
        <f t="shared" ca="1" si="17"/>
        <v>46265</v>
      </c>
      <c r="Y71" s="452" t="str">
        <f t="shared" ca="1" si="14"/>
        <v>Lun. septembre , 2026</v>
      </c>
      <c r="Z71" s="143">
        <f t="shared" ca="1" si="4"/>
        <v>30</v>
      </c>
      <c r="AA71" s="348">
        <f t="shared" ca="1" si="5"/>
        <v>9</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Lun</v>
      </c>
      <c r="U72" s="186" t="str">
        <f t="shared" ca="1" si="13"/>
        <v>septembre</v>
      </c>
      <c r="X72" s="347">
        <f t="shared" ca="1" si="17"/>
        <v>46265</v>
      </c>
      <c r="Y72" s="452" t="str">
        <f t="shared" ca="1" si="14"/>
        <v>Lun. septembre , 2026</v>
      </c>
      <c r="Z72" s="143">
        <f t="shared" ca="1" si="4"/>
        <v>30</v>
      </c>
      <c r="AA72" s="348">
        <f t="shared" ca="1" si="5"/>
        <v>9</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Lun</v>
      </c>
      <c r="U73" s="186" t="str">
        <f t="shared" ca="1" si="13"/>
        <v>septembre</v>
      </c>
      <c r="X73" s="347">
        <f t="shared" ca="1" si="17"/>
        <v>46265</v>
      </c>
      <c r="Y73" s="452" t="str">
        <f t="shared" ca="1" si="14"/>
        <v>Lun. septembre , 2026</v>
      </c>
      <c r="Z73" s="143">
        <f t="shared" ca="1" si="4"/>
        <v>30</v>
      </c>
      <c r="AA73" s="348">
        <f t="shared" ca="1" si="5"/>
        <v>9</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Lun</v>
      </c>
      <c r="U74" s="186" t="str">
        <f t="shared" ca="1" si="13"/>
        <v>septembre</v>
      </c>
      <c r="X74" s="347">
        <f t="shared" ca="1" si="17"/>
        <v>46265</v>
      </c>
      <c r="Y74" s="452" t="str">
        <f t="shared" ca="1" si="14"/>
        <v>Lun. septembre , 2026</v>
      </c>
      <c r="Z74" s="143">
        <f t="shared" ca="1" si="4"/>
        <v>30</v>
      </c>
      <c r="AA74" s="348">
        <f t="shared" ca="1" si="5"/>
        <v>9</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Lun</v>
      </c>
      <c r="U75" s="186" t="str">
        <f t="shared" ca="1" si="13"/>
        <v>septembre</v>
      </c>
      <c r="X75" s="347">
        <f t="shared" ca="1" si="17"/>
        <v>46265</v>
      </c>
      <c r="Y75" s="452" t="str">
        <f t="shared" ca="1" si="14"/>
        <v>Lun. septembre , 2026</v>
      </c>
      <c r="Z75" s="143">
        <f t="shared" ca="1" si="4"/>
        <v>30</v>
      </c>
      <c r="AA75" s="348">
        <f t="shared" ca="1" si="5"/>
        <v>9</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Lun</v>
      </c>
      <c r="U76" s="186" t="str">
        <f t="shared" ca="1" si="13"/>
        <v>septembre</v>
      </c>
      <c r="X76" s="347">
        <f t="shared" ca="1" si="17"/>
        <v>46265</v>
      </c>
      <c r="Y76" s="452" t="str">
        <f t="shared" ca="1" si="14"/>
        <v>Lun. septembre , 2026</v>
      </c>
      <c r="Z76" s="143">
        <f t="shared" ca="1" si="4"/>
        <v>30</v>
      </c>
      <c r="AA76" s="348">
        <f t="shared" ca="1" si="5"/>
        <v>9</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Lun</v>
      </c>
      <c r="U77" s="186" t="str">
        <f t="shared" ca="1" si="13"/>
        <v>septembre</v>
      </c>
      <c r="X77" s="347">
        <f t="shared" ca="1" si="17"/>
        <v>46265</v>
      </c>
      <c r="Y77" s="452" t="str">
        <f t="shared" ca="1" si="14"/>
        <v>Lun. septembre , 2026</v>
      </c>
      <c r="Z77" s="143">
        <f t="shared" ca="1" si="4"/>
        <v>30</v>
      </c>
      <c r="AA77" s="348">
        <f t="shared" ca="1" si="5"/>
        <v>9</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Lun</v>
      </c>
      <c r="U78" s="186" t="str">
        <f t="shared" ca="1" si="13"/>
        <v>septembre</v>
      </c>
      <c r="X78" s="347">
        <f t="shared" ca="1" si="17"/>
        <v>46265</v>
      </c>
      <c r="Y78" s="452" t="str">
        <f t="shared" ca="1" si="14"/>
        <v>Lun. septembre , 2026</v>
      </c>
      <c r="Z78" s="143">
        <f t="shared" ca="1" si="4"/>
        <v>30</v>
      </c>
      <c r="AA78" s="348">
        <f t="shared" ca="1" si="5"/>
        <v>9</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Lun</v>
      </c>
      <c r="U79" s="186" t="str">
        <f t="shared" ca="1" si="13"/>
        <v>septembre</v>
      </c>
      <c r="X79" s="347">
        <f t="shared" ca="1" si="17"/>
        <v>46265</v>
      </c>
      <c r="Y79" s="452" t="str">
        <f t="shared" ca="1" si="14"/>
        <v>Lun. septembre , 2026</v>
      </c>
      <c r="Z79" s="143">
        <f t="shared" ca="1" si="4"/>
        <v>30</v>
      </c>
      <c r="AA79" s="348">
        <f t="shared" ca="1" si="5"/>
        <v>9</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Lun</v>
      </c>
      <c r="U80" s="186" t="str">
        <f t="shared" ca="1" si="13"/>
        <v>septembre</v>
      </c>
      <c r="X80" s="347">
        <f t="shared" ca="1" si="17"/>
        <v>46265</v>
      </c>
      <c r="Y80" s="452" t="str">
        <f t="shared" ca="1" si="14"/>
        <v>Lun. septembre , 2026</v>
      </c>
      <c r="Z80" s="143">
        <f t="shared" ca="1" si="4"/>
        <v>30</v>
      </c>
      <c r="AA80" s="348">
        <f t="shared" ca="1" si="5"/>
        <v>9</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Lun</v>
      </c>
      <c r="U81" s="186" t="str">
        <f t="shared" ca="1" si="13"/>
        <v>septembre</v>
      </c>
      <c r="X81" s="347">
        <f t="shared" ca="1" si="17"/>
        <v>46265</v>
      </c>
      <c r="Y81" s="452" t="str">
        <f t="shared" ca="1" si="14"/>
        <v>Lun. septembre , 2026</v>
      </c>
      <c r="Z81" s="143">
        <f t="shared" ca="1" si="4"/>
        <v>30</v>
      </c>
      <c r="AA81" s="348">
        <f t="shared" ca="1" si="5"/>
        <v>9</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Lun</v>
      </c>
      <c r="U82" s="186" t="str">
        <f t="shared" ca="1" si="13"/>
        <v>septembre</v>
      </c>
      <c r="X82" s="347">
        <f t="shared" ca="1" si="17"/>
        <v>46265</v>
      </c>
      <c r="Y82" s="452" t="str">
        <f t="shared" ca="1" si="14"/>
        <v>Lun. septembre , 2026</v>
      </c>
      <c r="Z82" s="143">
        <f t="shared" ca="1" si="4"/>
        <v>30</v>
      </c>
      <c r="AA82" s="348">
        <f t="shared" ca="1" si="5"/>
        <v>9</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Lun</v>
      </c>
      <c r="U83" s="186" t="str">
        <f t="shared" ca="1" si="13"/>
        <v>septembre</v>
      </c>
      <c r="X83" s="347">
        <f t="shared" ca="1" si="17"/>
        <v>46265</v>
      </c>
      <c r="Y83" s="452" t="str">
        <f t="shared" ca="1" si="14"/>
        <v>Lun. septembre , 2026</v>
      </c>
      <c r="Z83" s="143">
        <f t="shared" ca="1" si="4"/>
        <v>30</v>
      </c>
      <c r="AA83" s="348">
        <f t="shared" ca="1" si="5"/>
        <v>9</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Lun</v>
      </c>
      <c r="U84" s="186" t="str">
        <f t="shared" ca="1" si="13"/>
        <v>septembre</v>
      </c>
      <c r="X84" s="347">
        <f t="shared" ca="1" si="17"/>
        <v>46265</v>
      </c>
      <c r="Y84" s="452" t="str">
        <f t="shared" ca="1" si="14"/>
        <v>Lun. septembre , 2026</v>
      </c>
      <c r="Z84" s="143">
        <f t="shared" ref="Z84:Z147" ca="1" si="24">MIN(R84,$AF$5)</f>
        <v>30</v>
      </c>
      <c r="AA84" s="348">
        <f t="shared" ref="AA84:AA147" ca="1" si="25">$AD$6</f>
        <v>9</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Lun</v>
      </c>
      <c r="U85" s="186" t="str">
        <f t="shared" ref="U85:U148" ca="1" si="32">$U$19</f>
        <v>septembre</v>
      </c>
      <c r="X85" s="347">
        <f t="shared" ca="1" si="17"/>
        <v>46265</v>
      </c>
      <c r="Y85" s="452" t="str">
        <f t="shared" ref="Y85:Y148" ca="1" si="33">IF(Y79="f",T85&amp;". "&amp;" "&amp;R85&amp;" "&amp;U85&amp;" "&amp;$AE$7,T85&amp;". "&amp;U85&amp;" "&amp;R85&amp;", "&amp;$AE$7)</f>
        <v>Lun. septembre , 2026</v>
      </c>
      <c r="Z85" s="143">
        <f t="shared" ca="1" si="24"/>
        <v>30</v>
      </c>
      <c r="AA85" s="348">
        <f t="shared" ca="1" si="25"/>
        <v>9</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Lun</v>
      </c>
      <c r="U86" s="186" t="str">
        <f t="shared" ca="1" si="32"/>
        <v>septembre</v>
      </c>
      <c r="X86" s="347">
        <f t="shared" ref="X86:X149" ca="1" si="36">$AE$8+D86</f>
        <v>46265</v>
      </c>
      <c r="Y86" s="452" t="str">
        <f t="shared" ca="1" si="33"/>
        <v>Lun. septembre , 2026</v>
      </c>
      <c r="Z86" s="143">
        <f t="shared" ca="1" si="24"/>
        <v>30</v>
      </c>
      <c r="AA86" s="348">
        <f t="shared" ca="1" si="25"/>
        <v>9</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Lun</v>
      </c>
      <c r="U87" s="186" t="str">
        <f t="shared" ca="1" si="32"/>
        <v>septembre</v>
      </c>
      <c r="X87" s="347">
        <f t="shared" ca="1" si="36"/>
        <v>46265</v>
      </c>
      <c r="Y87" s="452" t="str">
        <f t="shared" ca="1" si="33"/>
        <v>Lun. septembre , 2026</v>
      </c>
      <c r="Z87" s="143">
        <f t="shared" ca="1" si="24"/>
        <v>30</v>
      </c>
      <c r="AA87" s="348">
        <f t="shared" ca="1" si="25"/>
        <v>9</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Lun</v>
      </c>
      <c r="U88" s="186" t="str">
        <f t="shared" ca="1" si="32"/>
        <v>septembre</v>
      </c>
      <c r="X88" s="347">
        <f t="shared" ca="1" si="36"/>
        <v>46265</v>
      </c>
      <c r="Y88" s="452" t="str">
        <f t="shared" ca="1" si="33"/>
        <v>Lun. septembre , 2026</v>
      </c>
      <c r="Z88" s="143">
        <f t="shared" ca="1" si="24"/>
        <v>30</v>
      </c>
      <c r="AA88" s="348">
        <f t="shared" ca="1" si="25"/>
        <v>9</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Lun</v>
      </c>
      <c r="U89" s="186" t="str">
        <f t="shared" ca="1" si="32"/>
        <v>septembre</v>
      </c>
      <c r="X89" s="347">
        <f t="shared" ca="1" si="36"/>
        <v>46265</v>
      </c>
      <c r="Y89" s="452" t="str">
        <f t="shared" ca="1" si="33"/>
        <v>Lun. septembre , 2026</v>
      </c>
      <c r="Z89" s="143">
        <f t="shared" ca="1" si="24"/>
        <v>30</v>
      </c>
      <c r="AA89" s="348">
        <f t="shared" ca="1" si="25"/>
        <v>9</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Lun</v>
      </c>
      <c r="U90" s="186" t="str">
        <f t="shared" ca="1" si="32"/>
        <v>septembre</v>
      </c>
      <c r="X90" s="347">
        <f t="shared" ca="1" si="36"/>
        <v>46265</v>
      </c>
      <c r="Y90" s="452" t="str">
        <f t="shared" ca="1" si="33"/>
        <v>Lun. septembre , 2026</v>
      </c>
      <c r="Z90" s="143">
        <f t="shared" ca="1" si="24"/>
        <v>30</v>
      </c>
      <c r="AA90" s="348">
        <f t="shared" ca="1" si="25"/>
        <v>9</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Lun</v>
      </c>
      <c r="U91" s="186" t="str">
        <f t="shared" ca="1" si="32"/>
        <v>septembre</v>
      </c>
      <c r="X91" s="347">
        <f t="shared" ca="1" si="36"/>
        <v>46265</v>
      </c>
      <c r="Y91" s="452" t="str">
        <f t="shared" ca="1" si="33"/>
        <v>Lun. septembre , 2026</v>
      </c>
      <c r="Z91" s="143">
        <f t="shared" ca="1" si="24"/>
        <v>30</v>
      </c>
      <c r="AA91" s="348">
        <f t="shared" ca="1" si="25"/>
        <v>9</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Lun</v>
      </c>
      <c r="U92" s="186" t="str">
        <f t="shared" ca="1" si="32"/>
        <v>septembre</v>
      </c>
      <c r="X92" s="347">
        <f t="shared" ca="1" si="36"/>
        <v>46265</v>
      </c>
      <c r="Y92" s="452" t="str">
        <f t="shared" ca="1" si="33"/>
        <v>Lun. septembre , 2026</v>
      </c>
      <c r="Z92" s="143">
        <f t="shared" ca="1" si="24"/>
        <v>30</v>
      </c>
      <c r="AA92" s="348">
        <f t="shared" ca="1" si="25"/>
        <v>9</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Lun</v>
      </c>
      <c r="U93" s="186" t="str">
        <f t="shared" ca="1" si="32"/>
        <v>septembre</v>
      </c>
      <c r="X93" s="347">
        <f t="shared" ca="1" si="36"/>
        <v>46265</v>
      </c>
      <c r="Y93" s="452" t="str">
        <f t="shared" ca="1" si="33"/>
        <v>Lun. septembre , 2026</v>
      </c>
      <c r="Z93" s="143">
        <f t="shared" ca="1" si="24"/>
        <v>30</v>
      </c>
      <c r="AA93" s="348">
        <f t="shared" ca="1" si="25"/>
        <v>9</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Lun</v>
      </c>
      <c r="U94" s="186" t="str">
        <f t="shared" ca="1" si="32"/>
        <v>septembre</v>
      </c>
      <c r="X94" s="347">
        <f t="shared" ca="1" si="36"/>
        <v>46265</v>
      </c>
      <c r="Y94" s="452" t="str">
        <f t="shared" ca="1" si="33"/>
        <v>Lun. septembre , 2026</v>
      </c>
      <c r="Z94" s="143">
        <f t="shared" ca="1" si="24"/>
        <v>30</v>
      </c>
      <c r="AA94" s="348">
        <f t="shared" ca="1" si="25"/>
        <v>9</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Lun</v>
      </c>
      <c r="U95" s="186" t="str">
        <f t="shared" ca="1" si="32"/>
        <v>septembre</v>
      </c>
      <c r="X95" s="347">
        <f t="shared" ca="1" si="36"/>
        <v>46265</v>
      </c>
      <c r="Y95" s="452" t="str">
        <f t="shared" ca="1" si="33"/>
        <v>Lun. septembre , 2026</v>
      </c>
      <c r="Z95" s="143">
        <f t="shared" ca="1" si="24"/>
        <v>30</v>
      </c>
      <c r="AA95" s="348">
        <f t="shared" ca="1" si="25"/>
        <v>9</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Lun</v>
      </c>
      <c r="U96" s="186" t="str">
        <f t="shared" ca="1" si="32"/>
        <v>septembre</v>
      </c>
      <c r="X96" s="347">
        <f t="shared" ca="1" si="36"/>
        <v>46265</v>
      </c>
      <c r="Y96" s="452" t="str">
        <f t="shared" ca="1" si="33"/>
        <v>Lun. septembre , 2026</v>
      </c>
      <c r="Z96" s="143">
        <f t="shared" ca="1" si="24"/>
        <v>30</v>
      </c>
      <c r="AA96" s="348">
        <f t="shared" ca="1" si="25"/>
        <v>9</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Lun</v>
      </c>
      <c r="U97" s="186" t="str">
        <f t="shared" ca="1" si="32"/>
        <v>septembre</v>
      </c>
      <c r="X97" s="347">
        <f t="shared" ca="1" si="36"/>
        <v>46265</v>
      </c>
      <c r="Y97" s="452" t="str">
        <f t="shared" ca="1" si="33"/>
        <v>Lun. septembre , 2026</v>
      </c>
      <c r="Z97" s="143">
        <f t="shared" ca="1" si="24"/>
        <v>30</v>
      </c>
      <c r="AA97" s="348">
        <f t="shared" ca="1" si="25"/>
        <v>9</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Lun</v>
      </c>
      <c r="U98" s="186" t="str">
        <f t="shared" ca="1" si="32"/>
        <v>septembre</v>
      </c>
      <c r="X98" s="347">
        <f t="shared" ca="1" si="36"/>
        <v>46265</v>
      </c>
      <c r="Y98" s="452" t="str">
        <f t="shared" ca="1" si="33"/>
        <v>Lun. septembre , 2026</v>
      </c>
      <c r="Z98" s="143">
        <f t="shared" ca="1" si="24"/>
        <v>30</v>
      </c>
      <c r="AA98" s="348">
        <f t="shared" ca="1" si="25"/>
        <v>9</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Lun</v>
      </c>
      <c r="U99" s="186" t="str">
        <f t="shared" ca="1" si="32"/>
        <v>septembre</v>
      </c>
      <c r="X99" s="347">
        <f t="shared" ca="1" si="36"/>
        <v>46265</v>
      </c>
      <c r="Y99" s="452" t="str">
        <f t="shared" ca="1" si="33"/>
        <v>Lun. septembre , 2026</v>
      </c>
      <c r="Z99" s="143">
        <f t="shared" ca="1" si="24"/>
        <v>30</v>
      </c>
      <c r="AA99" s="348">
        <f t="shared" ca="1" si="25"/>
        <v>9</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Lun</v>
      </c>
      <c r="U100" s="186" t="str">
        <f t="shared" ca="1" si="32"/>
        <v>septembre</v>
      </c>
      <c r="X100" s="347">
        <f t="shared" ca="1" si="36"/>
        <v>46265</v>
      </c>
      <c r="Y100" s="452" t="str">
        <f t="shared" ca="1" si="33"/>
        <v>Lun. septembre , 2026</v>
      </c>
      <c r="Z100" s="143">
        <f t="shared" ca="1" si="24"/>
        <v>30</v>
      </c>
      <c r="AA100" s="348">
        <f t="shared" ca="1" si="25"/>
        <v>9</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Lun</v>
      </c>
      <c r="U101" s="186" t="str">
        <f t="shared" ca="1" si="32"/>
        <v>septembre</v>
      </c>
      <c r="X101" s="347">
        <f t="shared" ca="1" si="36"/>
        <v>46265</v>
      </c>
      <c r="Y101" s="452" t="str">
        <f t="shared" ca="1" si="33"/>
        <v>Lun. septembre , 2026</v>
      </c>
      <c r="Z101" s="143">
        <f t="shared" ca="1" si="24"/>
        <v>30</v>
      </c>
      <c r="AA101" s="348">
        <f t="shared" ca="1" si="25"/>
        <v>9</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Lun</v>
      </c>
      <c r="U102" s="186" t="str">
        <f t="shared" ca="1" si="32"/>
        <v>septembre</v>
      </c>
      <c r="X102" s="347">
        <f t="shared" ca="1" si="36"/>
        <v>46265</v>
      </c>
      <c r="Y102" s="452" t="str">
        <f t="shared" ca="1" si="33"/>
        <v>Lun. septembre , 2026</v>
      </c>
      <c r="Z102" s="143">
        <f t="shared" ca="1" si="24"/>
        <v>30</v>
      </c>
      <c r="AA102" s="348">
        <f t="shared" ca="1" si="25"/>
        <v>9</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Lun</v>
      </c>
      <c r="U103" s="186" t="str">
        <f t="shared" ca="1" si="32"/>
        <v>septembre</v>
      </c>
      <c r="X103" s="347">
        <f t="shared" ca="1" si="36"/>
        <v>46265</v>
      </c>
      <c r="Y103" s="452" t="str">
        <f t="shared" ca="1" si="33"/>
        <v>Lun. septembre , 2026</v>
      </c>
      <c r="Z103" s="143">
        <f t="shared" ca="1" si="24"/>
        <v>30</v>
      </c>
      <c r="AA103" s="348">
        <f t="shared" ca="1" si="25"/>
        <v>9</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Lun</v>
      </c>
      <c r="U104" s="186" t="str">
        <f t="shared" ca="1" si="32"/>
        <v>septembre</v>
      </c>
      <c r="X104" s="347">
        <f t="shared" ca="1" si="36"/>
        <v>46265</v>
      </c>
      <c r="Y104" s="452" t="str">
        <f t="shared" ca="1" si="33"/>
        <v>Lun. septembre , 2026</v>
      </c>
      <c r="Z104" s="143">
        <f t="shared" ca="1" si="24"/>
        <v>30</v>
      </c>
      <c r="AA104" s="348">
        <f t="shared" ca="1" si="25"/>
        <v>9</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Lun</v>
      </c>
      <c r="U105" s="186" t="str">
        <f t="shared" ca="1" si="32"/>
        <v>septembre</v>
      </c>
      <c r="X105" s="347">
        <f t="shared" ca="1" si="36"/>
        <v>46265</v>
      </c>
      <c r="Y105" s="452" t="str">
        <f t="shared" ca="1" si="33"/>
        <v>Lun. septembre , 2026</v>
      </c>
      <c r="Z105" s="143">
        <f t="shared" ca="1" si="24"/>
        <v>30</v>
      </c>
      <c r="AA105" s="348">
        <f t="shared" ca="1" si="25"/>
        <v>9</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Lun</v>
      </c>
      <c r="U106" s="186" t="str">
        <f t="shared" ca="1" si="32"/>
        <v>septembre</v>
      </c>
      <c r="X106" s="347">
        <f t="shared" ca="1" si="36"/>
        <v>46265</v>
      </c>
      <c r="Y106" s="452" t="str">
        <f t="shared" ca="1" si="33"/>
        <v>Lun. septembre , 2026</v>
      </c>
      <c r="Z106" s="143">
        <f t="shared" ca="1" si="24"/>
        <v>30</v>
      </c>
      <c r="AA106" s="348">
        <f t="shared" ca="1" si="25"/>
        <v>9</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Lun</v>
      </c>
      <c r="U107" s="186" t="str">
        <f t="shared" ca="1" si="32"/>
        <v>septembre</v>
      </c>
      <c r="X107" s="347">
        <f t="shared" ca="1" si="36"/>
        <v>46265</v>
      </c>
      <c r="Y107" s="452" t="str">
        <f t="shared" ca="1" si="33"/>
        <v>Lun. septembre , 2026</v>
      </c>
      <c r="Z107" s="143">
        <f t="shared" ca="1" si="24"/>
        <v>30</v>
      </c>
      <c r="AA107" s="348">
        <f t="shared" ca="1" si="25"/>
        <v>9</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Lun</v>
      </c>
      <c r="U108" s="186" t="str">
        <f t="shared" ca="1" si="32"/>
        <v>septembre</v>
      </c>
      <c r="X108" s="347">
        <f t="shared" ca="1" si="36"/>
        <v>46265</v>
      </c>
      <c r="Y108" s="452" t="str">
        <f t="shared" ca="1" si="33"/>
        <v>Lun. septembre , 2026</v>
      </c>
      <c r="Z108" s="143">
        <f t="shared" ca="1" si="24"/>
        <v>30</v>
      </c>
      <c r="AA108" s="348">
        <f t="shared" ca="1" si="25"/>
        <v>9</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Lun</v>
      </c>
      <c r="U109" s="186" t="str">
        <f t="shared" ca="1" si="32"/>
        <v>septembre</v>
      </c>
      <c r="X109" s="347">
        <f t="shared" ca="1" si="36"/>
        <v>46265</v>
      </c>
      <c r="Y109" s="452" t="str">
        <f t="shared" ca="1" si="33"/>
        <v>Lun. septembre , 2026</v>
      </c>
      <c r="Z109" s="143">
        <f t="shared" ca="1" si="24"/>
        <v>30</v>
      </c>
      <c r="AA109" s="348">
        <f t="shared" ca="1" si="25"/>
        <v>9</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Lun</v>
      </c>
      <c r="U110" s="186" t="str">
        <f t="shared" ca="1" si="32"/>
        <v>septembre</v>
      </c>
      <c r="X110" s="347">
        <f t="shared" ca="1" si="36"/>
        <v>46265</v>
      </c>
      <c r="Y110" s="452" t="str">
        <f t="shared" ca="1" si="33"/>
        <v>Lun. septembre , 2026</v>
      </c>
      <c r="Z110" s="143">
        <f t="shared" ca="1" si="24"/>
        <v>30</v>
      </c>
      <c r="AA110" s="348">
        <f t="shared" ca="1" si="25"/>
        <v>9</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Lun</v>
      </c>
      <c r="U111" s="186" t="str">
        <f t="shared" ca="1" si="32"/>
        <v>septembre</v>
      </c>
      <c r="X111" s="347">
        <f t="shared" ca="1" si="36"/>
        <v>46265</v>
      </c>
      <c r="Y111" s="452" t="str">
        <f t="shared" ca="1" si="33"/>
        <v>Lun. septembre , 2026</v>
      </c>
      <c r="Z111" s="143">
        <f t="shared" ca="1" si="24"/>
        <v>30</v>
      </c>
      <c r="AA111" s="348">
        <f t="shared" ca="1" si="25"/>
        <v>9</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Lun</v>
      </c>
      <c r="U112" s="186" t="str">
        <f t="shared" ca="1" si="32"/>
        <v>septembre</v>
      </c>
      <c r="X112" s="347">
        <f t="shared" ca="1" si="36"/>
        <v>46265</v>
      </c>
      <c r="Y112" s="452" t="str">
        <f t="shared" ca="1" si="33"/>
        <v>Lun. septembre , 2026</v>
      </c>
      <c r="Z112" s="143">
        <f t="shared" ca="1" si="24"/>
        <v>30</v>
      </c>
      <c r="AA112" s="348">
        <f t="shared" ca="1" si="25"/>
        <v>9</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Lun</v>
      </c>
      <c r="U113" s="186" t="str">
        <f t="shared" ca="1" si="32"/>
        <v>septembre</v>
      </c>
      <c r="X113" s="347">
        <f t="shared" ca="1" si="36"/>
        <v>46265</v>
      </c>
      <c r="Y113" s="452" t="str">
        <f t="shared" ca="1" si="33"/>
        <v>Lun. septembre , 2026</v>
      </c>
      <c r="Z113" s="143">
        <f t="shared" ca="1" si="24"/>
        <v>30</v>
      </c>
      <c r="AA113" s="348">
        <f t="shared" ca="1" si="25"/>
        <v>9</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Lun</v>
      </c>
      <c r="U114" s="186" t="str">
        <f t="shared" ca="1" si="32"/>
        <v>septembre</v>
      </c>
      <c r="X114" s="347">
        <f t="shared" ca="1" si="36"/>
        <v>46265</v>
      </c>
      <c r="Y114" s="452" t="str">
        <f t="shared" ca="1" si="33"/>
        <v>Lun. septembre , 2026</v>
      </c>
      <c r="Z114" s="143">
        <f t="shared" ca="1" si="24"/>
        <v>30</v>
      </c>
      <c r="AA114" s="348">
        <f t="shared" ca="1" si="25"/>
        <v>9</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Lun</v>
      </c>
      <c r="U115" s="186" t="str">
        <f t="shared" ca="1" si="32"/>
        <v>septembre</v>
      </c>
      <c r="X115" s="347">
        <f t="shared" ca="1" si="36"/>
        <v>46265</v>
      </c>
      <c r="Y115" s="452" t="str">
        <f t="shared" ca="1" si="33"/>
        <v>Lun. septembre , 2026</v>
      </c>
      <c r="Z115" s="143">
        <f t="shared" ca="1" si="24"/>
        <v>30</v>
      </c>
      <c r="AA115" s="348">
        <f t="shared" ca="1" si="25"/>
        <v>9</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Lun</v>
      </c>
      <c r="U116" s="186" t="str">
        <f t="shared" ca="1" si="32"/>
        <v>septembre</v>
      </c>
      <c r="X116" s="347">
        <f t="shared" ca="1" si="36"/>
        <v>46265</v>
      </c>
      <c r="Y116" s="452" t="str">
        <f t="shared" ca="1" si="33"/>
        <v>Lun. septembre , 2026</v>
      </c>
      <c r="Z116" s="143">
        <f t="shared" ca="1" si="24"/>
        <v>30</v>
      </c>
      <c r="AA116" s="348">
        <f t="shared" ca="1" si="25"/>
        <v>9</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Lun</v>
      </c>
      <c r="U117" s="186" t="str">
        <f t="shared" ca="1" si="32"/>
        <v>septembre</v>
      </c>
      <c r="X117" s="347">
        <f t="shared" ca="1" si="36"/>
        <v>46265</v>
      </c>
      <c r="Y117" s="452" t="str">
        <f t="shared" ca="1" si="33"/>
        <v>Lun. septembre , 2026</v>
      </c>
      <c r="Z117" s="143">
        <f t="shared" ca="1" si="24"/>
        <v>30</v>
      </c>
      <c r="AA117" s="348">
        <f t="shared" ca="1" si="25"/>
        <v>9</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Lun</v>
      </c>
      <c r="U118" s="186" t="str">
        <f t="shared" ca="1" si="32"/>
        <v>septembre</v>
      </c>
      <c r="X118" s="347">
        <f t="shared" ca="1" si="36"/>
        <v>46265</v>
      </c>
      <c r="Y118" s="452" t="str">
        <f t="shared" ca="1" si="33"/>
        <v>Lun. septembre , 2026</v>
      </c>
      <c r="Z118" s="143">
        <f t="shared" ca="1" si="24"/>
        <v>30</v>
      </c>
      <c r="AA118" s="348">
        <f t="shared" ca="1" si="25"/>
        <v>9</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Lun</v>
      </c>
      <c r="U119" s="186" t="str">
        <f t="shared" ca="1" si="32"/>
        <v>septembre</v>
      </c>
      <c r="X119" s="347">
        <f t="shared" ca="1" si="36"/>
        <v>46265</v>
      </c>
      <c r="Y119" s="452" t="str">
        <f t="shared" ca="1" si="33"/>
        <v>Lun. septembre , 2026</v>
      </c>
      <c r="Z119" s="143">
        <f t="shared" ca="1" si="24"/>
        <v>30</v>
      </c>
      <c r="AA119" s="348">
        <f t="shared" ca="1" si="25"/>
        <v>9</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Lun</v>
      </c>
      <c r="U120" s="186" t="str">
        <f t="shared" ca="1" si="32"/>
        <v>septembre</v>
      </c>
      <c r="X120" s="347">
        <f t="shared" ca="1" si="36"/>
        <v>46265</v>
      </c>
      <c r="Y120" s="452" t="str">
        <f t="shared" ca="1" si="33"/>
        <v>Lun. septembre , 2026</v>
      </c>
      <c r="Z120" s="143">
        <f t="shared" ca="1" si="24"/>
        <v>30</v>
      </c>
      <c r="AA120" s="348">
        <f t="shared" ca="1" si="25"/>
        <v>9</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Lun</v>
      </c>
      <c r="U121" s="186" t="str">
        <f t="shared" ca="1" si="32"/>
        <v>septembre</v>
      </c>
      <c r="X121" s="347">
        <f t="shared" ca="1" si="36"/>
        <v>46265</v>
      </c>
      <c r="Y121" s="452" t="str">
        <f t="shared" ca="1" si="33"/>
        <v>Lun. septembre , 2026</v>
      </c>
      <c r="Z121" s="143">
        <f t="shared" ca="1" si="24"/>
        <v>30</v>
      </c>
      <c r="AA121" s="348">
        <f t="shared" ca="1" si="25"/>
        <v>9</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Lun</v>
      </c>
      <c r="U122" s="186" t="str">
        <f t="shared" ca="1" si="32"/>
        <v>septembre</v>
      </c>
      <c r="X122" s="347">
        <f t="shared" ca="1" si="36"/>
        <v>46265</v>
      </c>
      <c r="Y122" s="452" t="str">
        <f t="shared" ca="1" si="33"/>
        <v>Lun. septembre , 2026</v>
      </c>
      <c r="Z122" s="143">
        <f t="shared" ca="1" si="24"/>
        <v>30</v>
      </c>
      <c r="AA122" s="348">
        <f t="shared" ca="1" si="25"/>
        <v>9</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Lun</v>
      </c>
      <c r="U123" s="186" t="str">
        <f t="shared" ca="1" si="32"/>
        <v>septembre</v>
      </c>
      <c r="X123" s="347">
        <f t="shared" ca="1" si="36"/>
        <v>46265</v>
      </c>
      <c r="Y123" s="452" t="str">
        <f t="shared" ca="1" si="33"/>
        <v>Lun. septembre , 2026</v>
      </c>
      <c r="Z123" s="143">
        <f t="shared" ca="1" si="24"/>
        <v>30</v>
      </c>
      <c r="AA123" s="348">
        <f t="shared" ca="1" si="25"/>
        <v>9</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Lun</v>
      </c>
      <c r="U124" s="186" t="str">
        <f t="shared" ca="1" si="32"/>
        <v>septembre</v>
      </c>
      <c r="X124" s="347">
        <f t="shared" ca="1" si="36"/>
        <v>46265</v>
      </c>
      <c r="Y124" s="452" t="str">
        <f t="shared" ca="1" si="33"/>
        <v>Lun. septembre , 2026</v>
      </c>
      <c r="Z124" s="143">
        <f t="shared" ca="1" si="24"/>
        <v>30</v>
      </c>
      <c r="AA124" s="348">
        <f t="shared" ca="1" si="25"/>
        <v>9</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Lun</v>
      </c>
      <c r="U125" s="186" t="str">
        <f t="shared" ca="1" si="32"/>
        <v>septembre</v>
      </c>
      <c r="X125" s="347">
        <f t="shared" ca="1" si="36"/>
        <v>46265</v>
      </c>
      <c r="Y125" s="452" t="str">
        <f t="shared" ca="1" si="33"/>
        <v>Lun. septembre , 2026</v>
      </c>
      <c r="Z125" s="143">
        <f t="shared" ca="1" si="24"/>
        <v>30</v>
      </c>
      <c r="AA125" s="348">
        <f t="shared" ca="1" si="25"/>
        <v>9</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Lun</v>
      </c>
      <c r="U126" s="186" t="str">
        <f t="shared" ca="1" si="32"/>
        <v>septembre</v>
      </c>
      <c r="X126" s="347">
        <f t="shared" ca="1" si="36"/>
        <v>46265</v>
      </c>
      <c r="Y126" s="452" t="str">
        <f t="shared" ca="1" si="33"/>
        <v>Lun. septembre , 2026</v>
      </c>
      <c r="Z126" s="143">
        <f t="shared" ca="1" si="24"/>
        <v>30</v>
      </c>
      <c r="AA126" s="348">
        <f t="shared" ca="1" si="25"/>
        <v>9</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Lun</v>
      </c>
      <c r="U127" s="186" t="str">
        <f t="shared" ca="1" si="32"/>
        <v>septembre</v>
      </c>
      <c r="X127" s="347">
        <f t="shared" ca="1" si="36"/>
        <v>46265</v>
      </c>
      <c r="Y127" s="452" t="str">
        <f t="shared" ca="1" si="33"/>
        <v>Lun. septembre , 2026</v>
      </c>
      <c r="Z127" s="143">
        <f t="shared" ca="1" si="24"/>
        <v>30</v>
      </c>
      <c r="AA127" s="348">
        <f t="shared" ca="1" si="25"/>
        <v>9</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Lun</v>
      </c>
      <c r="U128" s="186" t="str">
        <f t="shared" ca="1" si="32"/>
        <v>septembre</v>
      </c>
      <c r="X128" s="347">
        <f t="shared" ca="1" si="36"/>
        <v>46265</v>
      </c>
      <c r="Y128" s="452" t="str">
        <f t="shared" ca="1" si="33"/>
        <v>Lun. septembre , 2026</v>
      </c>
      <c r="Z128" s="143">
        <f t="shared" ca="1" si="24"/>
        <v>30</v>
      </c>
      <c r="AA128" s="348">
        <f t="shared" ca="1" si="25"/>
        <v>9</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Lun</v>
      </c>
      <c r="U129" s="186" t="str">
        <f t="shared" ca="1" si="32"/>
        <v>septembre</v>
      </c>
      <c r="X129" s="347">
        <f t="shared" ca="1" si="36"/>
        <v>46265</v>
      </c>
      <c r="Y129" s="452" t="str">
        <f t="shared" ca="1" si="33"/>
        <v>Lun. septembre , 2026</v>
      </c>
      <c r="Z129" s="143">
        <f t="shared" ca="1" si="24"/>
        <v>30</v>
      </c>
      <c r="AA129" s="348">
        <f t="shared" ca="1" si="25"/>
        <v>9</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Lun</v>
      </c>
      <c r="U130" s="186" t="str">
        <f t="shared" ca="1" si="32"/>
        <v>septembre</v>
      </c>
      <c r="X130" s="347">
        <f t="shared" ca="1" si="36"/>
        <v>46265</v>
      </c>
      <c r="Y130" s="452" t="str">
        <f t="shared" ca="1" si="33"/>
        <v>Lun. septembre , 2026</v>
      </c>
      <c r="Z130" s="143">
        <f t="shared" ca="1" si="24"/>
        <v>30</v>
      </c>
      <c r="AA130" s="348">
        <f t="shared" ca="1" si="25"/>
        <v>9</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Lun</v>
      </c>
      <c r="U131" s="186" t="str">
        <f t="shared" ca="1" si="32"/>
        <v>septembre</v>
      </c>
      <c r="X131" s="347">
        <f t="shared" ca="1" si="36"/>
        <v>46265</v>
      </c>
      <c r="Y131" s="452" t="str">
        <f t="shared" ca="1" si="33"/>
        <v>Lun. septembre , 2026</v>
      </c>
      <c r="Z131" s="143">
        <f t="shared" ca="1" si="24"/>
        <v>30</v>
      </c>
      <c r="AA131" s="348">
        <f t="shared" ca="1" si="25"/>
        <v>9</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Lun</v>
      </c>
      <c r="U132" s="186" t="str">
        <f t="shared" ca="1" si="32"/>
        <v>septembre</v>
      </c>
      <c r="X132" s="347">
        <f t="shared" ca="1" si="36"/>
        <v>46265</v>
      </c>
      <c r="Y132" s="452" t="str">
        <f t="shared" ca="1" si="33"/>
        <v>Lun. septembre , 2026</v>
      </c>
      <c r="Z132" s="143">
        <f t="shared" ca="1" si="24"/>
        <v>30</v>
      </c>
      <c r="AA132" s="348">
        <f t="shared" ca="1" si="25"/>
        <v>9</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Lun</v>
      </c>
      <c r="U133" s="186" t="str">
        <f t="shared" ca="1" si="32"/>
        <v>septembre</v>
      </c>
      <c r="X133" s="347">
        <f t="shared" ca="1" si="36"/>
        <v>46265</v>
      </c>
      <c r="Y133" s="452" t="str">
        <f t="shared" ca="1" si="33"/>
        <v>Lun. septembre , 2026</v>
      </c>
      <c r="Z133" s="143">
        <f t="shared" ca="1" si="24"/>
        <v>30</v>
      </c>
      <c r="AA133" s="348">
        <f t="shared" ca="1" si="25"/>
        <v>9</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Lun</v>
      </c>
      <c r="U134" s="186" t="str">
        <f t="shared" ca="1" si="32"/>
        <v>septembre</v>
      </c>
      <c r="X134" s="347">
        <f t="shared" ca="1" si="36"/>
        <v>46265</v>
      </c>
      <c r="Y134" s="452" t="str">
        <f t="shared" ca="1" si="33"/>
        <v>Lun. septembre , 2026</v>
      </c>
      <c r="Z134" s="143">
        <f t="shared" ca="1" si="24"/>
        <v>30</v>
      </c>
      <c r="AA134" s="348">
        <f t="shared" ca="1" si="25"/>
        <v>9</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Lun</v>
      </c>
      <c r="U135" s="186" t="str">
        <f t="shared" ca="1" si="32"/>
        <v>septembre</v>
      </c>
      <c r="X135" s="347">
        <f t="shared" ca="1" si="36"/>
        <v>46265</v>
      </c>
      <c r="Y135" s="452" t="str">
        <f t="shared" ca="1" si="33"/>
        <v>Lun. septembre , 2026</v>
      </c>
      <c r="Z135" s="143">
        <f t="shared" ca="1" si="24"/>
        <v>30</v>
      </c>
      <c r="AA135" s="348">
        <f t="shared" ca="1" si="25"/>
        <v>9</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Lun</v>
      </c>
      <c r="U136" s="186" t="str">
        <f t="shared" ca="1" si="32"/>
        <v>septembre</v>
      </c>
      <c r="X136" s="347">
        <f t="shared" ca="1" si="36"/>
        <v>46265</v>
      </c>
      <c r="Y136" s="452" t="str">
        <f t="shared" ca="1" si="33"/>
        <v>Lun. septembre , 2026</v>
      </c>
      <c r="Z136" s="143">
        <f t="shared" ca="1" si="24"/>
        <v>30</v>
      </c>
      <c r="AA136" s="348">
        <f t="shared" ca="1" si="25"/>
        <v>9</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Lun</v>
      </c>
      <c r="U137" s="186" t="str">
        <f t="shared" ca="1" si="32"/>
        <v>septembre</v>
      </c>
      <c r="X137" s="347">
        <f t="shared" ca="1" si="36"/>
        <v>46265</v>
      </c>
      <c r="Y137" s="452" t="str">
        <f t="shared" ca="1" si="33"/>
        <v>Lun. septembre , 2026</v>
      </c>
      <c r="Z137" s="143">
        <f t="shared" ca="1" si="24"/>
        <v>30</v>
      </c>
      <c r="AA137" s="348">
        <f t="shared" ca="1" si="25"/>
        <v>9</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Lun</v>
      </c>
      <c r="U138" s="186" t="str">
        <f t="shared" ca="1" si="32"/>
        <v>septembre</v>
      </c>
      <c r="X138" s="347">
        <f t="shared" ca="1" si="36"/>
        <v>46265</v>
      </c>
      <c r="Y138" s="452" t="str">
        <f t="shared" ca="1" si="33"/>
        <v>Lun. septembre , 2026</v>
      </c>
      <c r="Z138" s="143">
        <f t="shared" ca="1" si="24"/>
        <v>30</v>
      </c>
      <c r="AA138" s="348">
        <f t="shared" ca="1" si="25"/>
        <v>9</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Lun</v>
      </c>
      <c r="U139" s="186" t="str">
        <f t="shared" ca="1" si="32"/>
        <v>septembre</v>
      </c>
      <c r="X139" s="347">
        <f t="shared" ca="1" si="36"/>
        <v>46265</v>
      </c>
      <c r="Y139" s="452" t="str">
        <f t="shared" ca="1" si="33"/>
        <v>Lun. septembre , 2026</v>
      </c>
      <c r="Z139" s="143">
        <f t="shared" ca="1" si="24"/>
        <v>30</v>
      </c>
      <c r="AA139" s="348">
        <f t="shared" ca="1" si="25"/>
        <v>9</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Lun</v>
      </c>
      <c r="U140" s="186" t="str">
        <f t="shared" ca="1" si="32"/>
        <v>septembre</v>
      </c>
      <c r="X140" s="347">
        <f t="shared" ca="1" si="36"/>
        <v>46265</v>
      </c>
      <c r="Y140" s="452" t="str">
        <f t="shared" ca="1" si="33"/>
        <v>Lun. septembre , 2026</v>
      </c>
      <c r="Z140" s="143">
        <f t="shared" ca="1" si="24"/>
        <v>30</v>
      </c>
      <c r="AA140" s="348">
        <f t="shared" ca="1" si="25"/>
        <v>9</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Lun</v>
      </c>
      <c r="U141" s="186" t="str">
        <f t="shared" ca="1" si="32"/>
        <v>septembre</v>
      </c>
      <c r="X141" s="347">
        <f t="shared" ca="1" si="36"/>
        <v>46265</v>
      </c>
      <c r="Y141" s="452" t="str">
        <f t="shared" ca="1" si="33"/>
        <v>Lun. septembre , 2026</v>
      </c>
      <c r="Z141" s="143">
        <f t="shared" ca="1" si="24"/>
        <v>30</v>
      </c>
      <c r="AA141" s="348">
        <f t="shared" ca="1" si="25"/>
        <v>9</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Lun</v>
      </c>
      <c r="U142" s="186" t="str">
        <f t="shared" ca="1" si="32"/>
        <v>septembre</v>
      </c>
      <c r="X142" s="347">
        <f t="shared" ca="1" si="36"/>
        <v>46265</v>
      </c>
      <c r="Y142" s="452" t="str">
        <f t="shared" ca="1" si="33"/>
        <v>Lun. septembre , 2026</v>
      </c>
      <c r="Z142" s="143">
        <f t="shared" ca="1" si="24"/>
        <v>30</v>
      </c>
      <c r="AA142" s="348">
        <f t="shared" ca="1" si="25"/>
        <v>9</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Lun</v>
      </c>
      <c r="U143" s="186" t="str">
        <f t="shared" ca="1" si="32"/>
        <v>septembre</v>
      </c>
      <c r="X143" s="347">
        <f t="shared" ca="1" si="36"/>
        <v>46265</v>
      </c>
      <c r="Y143" s="452" t="str">
        <f t="shared" ca="1" si="33"/>
        <v>Lun. septembre , 2026</v>
      </c>
      <c r="Z143" s="143">
        <f t="shared" ca="1" si="24"/>
        <v>30</v>
      </c>
      <c r="AA143" s="348">
        <f t="shared" ca="1" si="25"/>
        <v>9</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Lun</v>
      </c>
      <c r="U144" s="186" t="str">
        <f t="shared" ca="1" si="32"/>
        <v>septembre</v>
      </c>
      <c r="X144" s="347">
        <f t="shared" ca="1" si="36"/>
        <v>46265</v>
      </c>
      <c r="Y144" s="452" t="str">
        <f t="shared" ca="1" si="33"/>
        <v>Lun. septembre , 2026</v>
      </c>
      <c r="Z144" s="143">
        <f t="shared" ca="1" si="24"/>
        <v>30</v>
      </c>
      <c r="AA144" s="348">
        <f t="shared" ca="1" si="25"/>
        <v>9</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Lun</v>
      </c>
      <c r="U145" s="186" t="str">
        <f t="shared" ca="1" si="32"/>
        <v>septembre</v>
      </c>
      <c r="X145" s="347">
        <f t="shared" ca="1" si="36"/>
        <v>46265</v>
      </c>
      <c r="Y145" s="452" t="str">
        <f t="shared" ca="1" si="33"/>
        <v>Lun. septembre , 2026</v>
      </c>
      <c r="Z145" s="143">
        <f t="shared" ca="1" si="24"/>
        <v>30</v>
      </c>
      <c r="AA145" s="348">
        <f t="shared" ca="1" si="25"/>
        <v>9</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Lun</v>
      </c>
      <c r="U146" s="186" t="str">
        <f t="shared" ca="1" si="32"/>
        <v>septembre</v>
      </c>
      <c r="X146" s="347">
        <f t="shared" ca="1" si="36"/>
        <v>46265</v>
      </c>
      <c r="Y146" s="452" t="str">
        <f t="shared" ca="1" si="33"/>
        <v>Lun. septembre , 2026</v>
      </c>
      <c r="Z146" s="143">
        <f t="shared" ca="1" si="24"/>
        <v>30</v>
      </c>
      <c r="AA146" s="348">
        <f t="shared" ca="1" si="25"/>
        <v>9</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Lun</v>
      </c>
      <c r="U147" s="186" t="str">
        <f t="shared" ca="1" si="32"/>
        <v>septembre</v>
      </c>
      <c r="X147" s="347">
        <f t="shared" ca="1" si="36"/>
        <v>46265</v>
      </c>
      <c r="Y147" s="452" t="str">
        <f t="shared" ca="1" si="33"/>
        <v>Lun. septembre , 2026</v>
      </c>
      <c r="Z147" s="143">
        <f t="shared" ca="1" si="24"/>
        <v>30</v>
      </c>
      <c r="AA147" s="348">
        <f t="shared" ca="1" si="25"/>
        <v>9</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Lun</v>
      </c>
      <c r="U148" s="186" t="str">
        <f t="shared" ca="1" si="32"/>
        <v>septembre</v>
      </c>
      <c r="X148" s="347">
        <f t="shared" ca="1" si="36"/>
        <v>46265</v>
      </c>
      <c r="Y148" s="452" t="str">
        <f t="shared" ca="1" si="33"/>
        <v>Lun. septembre , 2026</v>
      </c>
      <c r="Z148" s="143">
        <f t="shared" ref="Z148:Z194" ca="1" si="43">MIN(R148,$AF$5)</f>
        <v>30</v>
      </c>
      <c r="AA148" s="348">
        <f t="shared" ref="AA148:AA194" ca="1" si="44">$AD$6</f>
        <v>9</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Lun</v>
      </c>
      <c r="U149" s="186" t="str">
        <f t="shared" ref="U149:U194" ca="1" si="51">$U$19</f>
        <v>septembre</v>
      </c>
      <c r="X149" s="347">
        <f t="shared" ca="1" si="36"/>
        <v>46265</v>
      </c>
      <c r="Y149" s="452" t="str">
        <f t="shared" ref="Y149:Y194" ca="1" si="52">IF(Y143="f",T149&amp;". "&amp;" "&amp;R149&amp;" "&amp;U149&amp;" "&amp;$AE$7,T149&amp;". "&amp;U149&amp;" "&amp;R149&amp;", "&amp;$AE$7)</f>
        <v>Lun. septembre , 2026</v>
      </c>
      <c r="Z149" s="143">
        <f t="shared" ca="1" si="43"/>
        <v>30</v>
      </c>
      <c r="AA149" s="348">
        <f t="shared" ca="1" si="44"/>
        <v>9</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Lun</v>
      </c>
      <c r="U150" s="186" t="str">
        <f t="shared" ca="1" si="51"/>
        <v>septembre</v>
      </c>
      <c r="X150" s="347">
        <f t="shared" ref="X150:X194" ca="1" si="55">$AE$8+D150</f>
        <v>46265</v>
      </c>
      <c r="Y150" s="452" t="str">
        <f t="shared" ca="1" si="52"/>
        <v>Lun. septembre , 2026</v>
      </c>
      <c r="Z150" s="143">
        <f t="shared" ca="1" si="43"/>
        <v>30</v>
      </c>
      <c r="AA150" s="348">
        <f t="shared" ca="1" si="44"/>
        <v>9</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Lun</v>
      </c>
      <c r="U151" s="186" t="str">
        <f t="shared" ca="1" si="51"/>
        <v>septembre</v>
      </c>
      <c r="X151" s="347">
        <f t="shared" ca="1" si="55"/>
        <v>46265</v>
      </c>
      <c r="Y151" s="452" t="str">
        <f t="shared" ca="1" si="52"/>
        <v>Lun. septembre , 2026</v>
      </c>
      <c r="Z151" s="143">
        <f t="shared" ca="1" si="43"/>
        <v>30</v>
      </c>
      <c r="AA151" s="348">
        <f t="shared" ca="1" si="44"/>
        <v>9</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Lun</v>
      </c>
      <c r="U152" s="186" t="str">
        <f t="shared" ca="1" si="51"/>
        <v>septembre</v>
      </c>
      <c r="X152" s="347">
        <f t="shared" ca="1" si="55"/>
        <v>46265</v>
      </c>
      <c r="Y152" s="452" t="str">
        <f t="shared" ca="1" si="52"/>
        <v>Lun. septembre , 2026</v>
      </c>
      <c r="Z152" s="143">
        <f t="shared" ca="1" si="43"/>
        <v>30</v>
      </c>
      <c r="AA152" s="348">
        <f t="shared" ca="1" si="44"/>
        <v>9</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Lun</v>
      </c>
      <c r="U153" s="186" t="str">
        <f t="shared" ca="1" si="51"/>
        <v>septembre</v>
      </c>
      <c r="X153" s="347">
        <f t="shared" ca="1" si="55"/>
        <v>46265</v>
      </c>
      <c r="Y153" s="452" t="str">
        <f t="shared" ca="1" si="52"/>
        <v>Lun. septembre , 2026</v>
      </c>
      <c r="Z153" s="143">
        <f t="shared" ca="1" si="43"/>
        <v>30</v>
      </c>
      <c r="AA153" s="348">
        <f t="shared" ca="1" si="44"/>
        <v>9</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Lun</v>
      </c>
      <c r="U154" s="186" t="str">
        <f t="shared" ca="1" si="51"/>
        <v>septembre</v>
      </c>
      <c r="X154" s="347">
        <f t="shared" ca="1" si="55"/>
        <v>46265</v>
      </c>
      <c r="Y154" s="452" t="str">
        <f t="shared" ca="1" si="52"/>
        <v>Lun. septembre , 2026</v>
      </c>
      <c r="Z154" s="143">
        <f t="shared" ca="1" si="43"/>
        <v>30</v>
      </c>
      <c r="AA154" s="348">
        <f t="shared" ca="1" si="44"/>
        <v>9</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Lun</v>
      </c>
      <c r="U155" s="186" t="str">
        <f t="shared" ca="1" si="51"/>
        <v>septembre</v>
      </c>
      <c r="X155" s="347">
        <f t="shared" ca="1" si="55"/>
        <v>46265</v>
      </c>
      <c r="Y155" s="452" t="str">
        <f t="shared" ca="1" si="52"/>
        <v>Lun. septembre , 2026</v>
      </c>
      <c r="Z155" s="143">
        <f t="shared" ca="1" si="43"/>
        <v>30</v>
      </c>
      <c r="AA155" s="348">
        <f t="shared" ca="1" si="44"/>
        <v>9</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Lun</v>
      </c>
      <c r="U156" s="186" t="str">
        <f t="shared" ca="1" si="51"/>
        <v>septembre</v>
      </c>
      <c r="X156" s="347">
        <f t="shared" ca="1" si="55"/>
        <v>46265</v>
      </c>
      <c r="Y156" s="452" t="str">
        <f t="shared" ca="1" si="52"/>
        <v>Lun. septembre , 2026</v>
      </c>
      <c r="Z156" s="143">
        <f t="shared" ca="1" si="43"/>
        <v>30</v>
      </c>
      <c r="AA156" s="348">
        <f t="shared" ca="1" si="44"/>
        <v>9</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Lun</v>
      </c>
      <c r="U157" s="186" t="str">
        <f t="shared" ca="1" si="51"/>
        <v>septembre</v>
      </c>
      <c r="X157" s="347">
        <f t="shared" ca="1" si="55"/>
        <v>46265</v>
      </c>
      <c r="Y157" s="452" t="str">
        <f t="shared" ca="1" si="52"/>
        <v>Lun. septembre , 2026</v>
      </c>
      <c r="Z157" s="143">
        <f t="shared" ca="1" si="43"/>
        <v>30</v>
      </c>
      <c r="AA157" s="348">
        <f t="shared" ca="1" si="44"/>
        <v>9</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Lun</v>
      </c>
      <c r="U158" s="186" t="str">
        <f t="shared" ca="1" si="51"/>
        <v>septembre</v>
      </c>
      <c r="X158" s="347">
        <f t="shared" ca="1" si="55"/>
        <v>46265</v>
      </c>
      <c r="Y158" s="452" t="str">
        <f t="shared" ca="1" si="52"/>
        <v>Lun. septembre , 2026</v>
      </c>
      <c r="Z158" s="143">
        <f t="shared" ca="1" si="43"/>
        <v>30</v>
      </c>
      <c r="AA158" s="348">
        <f t="shared" ca="1" si="44"/>
        <v>9</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Lun</v>
      </c>
      <c r="U159" s="186" t="str">
        <f t="shared" ca="1" si="51"/>
        <v>septembre</v>
      </c>
      <c r="X159" s="347">
        <f t="shared" ca="1" si="55"/>
        <v>46265</v>
      </c>
      <c r="Y159" s="452" t="str">
        <f t="shared" ca="1" si="52"/>
        <v>Lun. septembre , 2026</v>
      </c>
      <c r="Z159" s="143">
        <f t="shared" ca="1" si="43"/>
        <v>30</v>
      </c>
      <c r="AA159" s="348">
        <f t="shared" ca="1" si="44"/>
        <v>9</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Lun</v>
      </c>
      <c r="U160" s="186" t="str">
        <f t="shared" ca="1" si="51"/>
        <v>septembre</v>
      </c>
      <c r="X160" s="347">
        <f t="shared" ca="1" si="55"/>
        <v>46265</v>
      </c>
      <c r="Y160" s="452" t="str">
        <f t="shared" ca="1" si="52"/>
        <v>Lun. septembre , 2026</v>
      </c>
      <c r="Z160" s="143">
        <f t="shared" ca="1" si="43"/>
        <v>30</v>
      </c>
      <c r="AA160" s="348">
        <f t="shared" ca="1" si="44"/>
        <v>9</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Lun</v>
      </c>
      <c r="U161" s="186" t="str">
        <f t="shared" ca="1" si="51"/>
        <v>septembre</v>
      </c>
      <c r="X161" s="347">
        <f t="shared" ca="1" si="55"/>
        <v>46265</v>
      </c>
      <c r="Y161" s="452" t="str">
        <f t="shared" ca="1" si="52"/>
        <v>Lun. septembre , 2026</v>
      </c>
      <c r="Z161" s="143">
        <f t="shared" ca="1" si="43"/>
        <v>30</v>
      </c>
      <c r="AA161" s="348">
        <f t="shared" ca="1" si="44"/>
        <v>9</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Lun</v>
      </c>
      <c r="U162" s="186" t="str">
        <f t="shared" ca="1" si="51"/>
        <v>septembre</v>
      </c>
      <c r="X162" s="347">
        <f t="shared" ca="1" si="55"/>
        <v>46265</v>
      </c>
      <c r="Y162" s="452" t="str">
        <f t="shared" ca="1" si="52"/>
        <v>Lun. septembre , 2026</v>
      </c>
      <c r="Z162" s="143">
        <f t="shared" ca="1" si="43"/>
        <v>30</v>
      </c>
      <c r="AA162" s="348">
        <f t="shared" ca="1" si="44"/>
        <v>9</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Lun</v>
      </c>
      <c r="U163" s="186" t="str">
        <f t="shared" ca="1" si="51"/>
        <v>septembre</v>
      </c>
      <c r="X163" s="347">
        <f t="shared" ca="1" si="55"/>
        <v>46265</v>
      </c>
      <c r="Y163" s="452" t="str">
        <f t="shared" ca="1" si="52"/>
        <v>Lun. septembre , 2026</v>
      </c>
      <c r="Z163" s="143">
        <f t="shared" ca="1" si="43"/>
        <v>30</v>
      </c>
      <c r="AA163" s="348">
        <f t="shared" ca="1" si="44"/>
        <v>9</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Lun</v>
      </c>
      <c r="U164" s="186" t="str">
        <f t="shared" ca="1" si="51"/>
        <v>septembre</v>
      </c>
      <c r="X164" s="347">
        <f t="shared" ca="1" si="55"/>
        <v>46265</v>
      </c>
      <c r="Y164" s="452" t="str">
        <f t="shared" ca="1" si="52"/>
        <v>Lun. septembre , 2026</v>
      </c>
      <c r="Z164" s="143">
        <f t="shared" ca="1" si="43"/>
        <v>30</v>
      </c>
      <c r="AA164" s="348">
        <f t="shared" ca="1" si="44"/>
        <v>9</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Lun</v>
      </c>
      <c r="U165" s="186" t="str">
        <f t="shared" ca="1" si="51"/>
        <v>septembre</v>
      </c>
      <c r="X165" s="347">
        <f t="shared" ca="1" si="55"/>
        <v>46265</v>
      </c>
      <c r="Y165" s="452" t="str">
        <f t="shared" ca="1" si="52"/>
        <v>Lun. septembre , 2026</v>
      </c>
      <c r="Z165" s="143">
        <f t="shared" ca="1" si="43"/>
        <v>30</v>
      </c>
      <c r="AA165" s="348">
        <f t="shared" ca="1" si="44"/>
        <v>9</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Lun</v>
      </c>
      <c r="U166" s="186" t="str">
        <f t="shared" ca="1" si="51"/>
        <v>septembre</v>
      </c>
      <c r="X166" s="347">
        <f t="shared" ca="1" si="55"/>
        <v>46265</v>
      </c>
      <c r="Y166" s="452" t="str">
        <f t="shared" ca="1" si="52"/>
        <v>Lun. septembre , 2026</v>
      </c>
      <c r="Z166" s="143">
        <f t="shared" ca="1" si="43"/>
        <v>30</v>
      </c>
      <c r="AA166" s="348">
        <f t="shared" ca="1" si="44"/>
        <v>9</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Lun</v>
      </c>
      <c r="U167" s="186" t="str">
        <f t="shared" ca="1" si="51"/>
        <v>septembre</v>
      </c>
      <c r="X167" s="347">
        <f t="shared" ca="1" si="55"/>
        <v>46265</v>
      </c>
      <c r="Y167" s="452" t="str">
        <f t="shared" ca="1" si="52"/>
        <v>Lun. septembre , 2026</v>
      </c>
      <c r="Z167" s="143">
        <f t="shared" ca="1" si="43"/>
        <v>30</v>
      </c>
      <c r="AA167" s="348">
        <f t="shared" ca="1" si="44"/>
        <v>9</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Lun</v>
      </c>
      <c r="U168" s="186" t="str">
        <f t="shared" ca="1" si="51"/>
        <v>septembre</v>
      </c>
      <c r="X168" s="347">
        <f t="shared" ca="1" si="55"/>
        <v>46265</v>
      </c>
      <c r="Y168" s="452" t="str">
        <f t="shared" ca="1" si="52"/>
        <v>Lun. septembre , 2026</v>
      </c>
      <c r="Z168" s="143">
        <f t="shared" ca="1" si="43"/>
        <v>30</v>
      </c>
      <c r="AA168" s="348">
        <f t="shared" ca="1" si="44"/>
        <v>9</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Lun</v>
      </c>
      <c r="U169" s="186" t="str">
        <f t="shared" ca="1" si="51"/>
        <v>septembre</v>
      </c>
      <c r="X169" s="347">
        <f t="shared" ca="1" si="55"/>
        <v>46265</v>
      </c>
      <c r="Y169" s="452" t="str">
        <f t="shared" ca="1" si="52"/>
        <v>Lun. septembre , 2026</v>
      </c>
      <c r="Z169" s="143">
        <f t="shared" ca="1" si="43"/>
        <v>30</v>
      </c>
      <c r="AA169" s="348">
        <f t="shared" ca="1" si="44"/>
        <v>9</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Lun</v>
      </c>
      <c r="U170" s="186" t="str">
        <f t="shared" ca="1" si="51"/>
        <v>septembre</v>
      </c>
      <c r="X170" s="347">
        <f t="shared" ca="1" si="55"/>
        <v>46265</v>
      </c>
      <c r="Y170" s="452" t="str">
        <f t="shared" ca="1" si="52"/>
        <v>Lun. septembre , 2026</v>
      </c>
      <c r="Z170" s="143">
        <f t="shared" ca="1" si="43"/>
        <v>30</v>
      </c>
      <c r="AA170" s="348">
        <f t="shared" ca="1" si="44"/>
        <v>9</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Lun</v>
      </c>
      <c r="U171" s="186" t="str">
        <f t="shared" ca="1" si="51"/>
        <v>septembre</v>
      </c>
      <c r="X171" s="347">
        <f t="shared" ca="1" si="55"/>
        <v>46265</v>
      </c>
      <c r="Y171" s="452" t="str">
        <f t="shared" ca="1" si="52"/>
        <v>Lun. septembre , 2026</v>
      </c>
      <c r="Z171" s="143">
        <f t="shared" ca="1" si="43"/>
        <v>30</v>
      </c>
      <c r="AA171" s="348">
        <f t="shared" ca="1" si="44"/>
        <v>9</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Lun</v>
      </c>
      <c r="U172" s="186" t="str">
        <f t="shared" ca="1" si="51"/>
        <v>septembre</v>
      </c>
      <c r="X172" s="347">
        <f t="shared" ca="1" si="55"/>
        <v>46265</v>
      </c>
      <c r="Y172" s="452" t="str">
        <f t="shared" ca="1" si="52"/>
        <v>Lun. septembre , 2026</v>
      </c>
      <c r="Z172" s="143">
        <f t="shared" ca="1" si="43"/>
        <v>30</v>
      </c>
      <c r="AA172" s="348">
        <f t="shared" ca="1" si="44"/>
        <v>9</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Lun</v>
      </c>
      <c r="U173" s="186" t="str">
        <f t="shared" ca="1" si="51"/>
        <v>septembre</v>
      </c>
      <c r="X173" s="347">
        <f t="shared" ca="1" si="55"/>
        <v>46265</v>
      </c>
      <c r="Y173" s="452" t="str">
        <f t="shared" ca="1" si="52"/>
        <v>Lun. septembre , 2026</v>
      </c>
      <c r="Z173" s="143">
        <f t="shared" ca="1" si="43"/>
        <v>30</v>
      </c>
      <c r="AA173" s="348">
        <f t="shared" ca="1" si="44"/>
        <v>9</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Lun</v>
      </c>
      <c r="U174" s="186" t="str">
        <f t="shared" ca="1" si="51"/>
        <v>septembre</v>
      </c>
      <c r="X174" s="347">
        <f t="shared" ca="1" si="55"/>
        <v>46265</v>
      </c>
      <c r="Y174" s="452" t="str">
        <f t="shared" ca="1" si="52"/>
        <v>Lun. septembre , 2026</v>
      </c>
      <c r="Z174" s="143">
        <f t="shared" ca="1" si="43"/>
        <v>30</v>
      </c>
      <c r="AA174" s="348">
        <f t="shared" ca="1" si="44"/>
        <v>9</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Lun</v>
      </c>
      <c r="U175" s="186" t="str">
        <f t="shared" ca="1" si="51"/>
        <v>septembre</v>
      </c>
      <c r="X175" s="347">
        <f t="shared" ca="1" si="55"/>
        <v>46265</v>
      </c>
      <c r="Y175" s="452" t="str">
        <f t="shared" ca="1" si="52"/>
        <v>Lun. septembre , 2026</v>
      </c>
      <c r="Z175" s="143">
        <f t="shared" ca="1" si="43"/>
        <v>30</v>
      </c>
      <c r="AA175" s="348">
        <f t="shared" ca="1" si="44"/>
        <v>9</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Lun</v>
      </c>
      <c r="U176" s="186" t="str">
        <f t="shared" ca="1" si="51"/>
        <v>septembre</v>
      </c>
      <c r="X176" s="347">
        <f t="shared" ca="1" si="55"/>
        <v>46265</v>
      </c>
      <c r="Y176" s="452" t="str">
        <f t="shared" ca="1" si="52"/>
        <v>Lun. septembre , 2026</v>
      </c>
      <c r="Z176" s="143">
        <f t="shared" ca="1" si="43"/>
        <v>30</v>
      </c>
      <c r="AA176" s="348">
        <f t="shared" ca="1" si="44"/>
        <v>9</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Lun</v>
      </c>
      <c r="U177" s="186" t="str">
        <f t="shared" ca="1" si="51"/>
        <v>septembre</v>
      </c>
      <c r="X177" s="347">
        <f t="shared" ca="1" si="55"/>
        <v>46265</v>
      </c>
      <c r="Y177" s="452" t="str">
        <f t="shared" ca="1" si="52"/>
        <v>Lun. septembre , 2026</v>
      </c>
      <c r="Z177" s="143">
        <f t="shared" ca="1" si="43"/>
        <v>30</v>
      </c>
      <c r="AA177" s="348">
        <f t="shared" ca="1" si="44"/>
        <v>9</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Lun</v>
      </c>
      <c r="U178" s="186" t="str">
        <f t="shared" ca="1" si="51"/>
        <v>septembre</v>
      </c>
      <c r="X178" s="347">
        <f t="shared" ca="1" si="55"/>
        <v>46265</v>
      </c>
      <c r="Y178" s="452" t="str">
        <f t="shared" ca="1" si="52"/>
        <v>Lun. septembre , 2026</v>
      </c>
      <c r="Z178" s="143">
        <f t="shared" ca="1" si="43"/>
        <v>30</v>
      </c>
      <c r="AA178" s="348">
        <f t="shared" ca="1" si="44"/>
        <v>9</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Lun</v>
      </c>
      <c r="U179" s="186" t="str">
        <f t="shared" ca="1" si="51"/>
        <v>septembre</v>
      </c>
      <c r="X179" s="347">
        <f t="shared" ca="1" si="55"/>
        <v>46265</v>
      </c>
      <c r="Y179" s="452" t="str">
        <f t="shared" ca="1" si="52"/>
        <v>Lun. septembre , 2026</v>
      </c>
      <c r="Z179" s="143">
        <f t="shared" ca="1" si="43"/>
        <v>30</v>
      </c>
      <c r="AA179" s="348">
        <f t="shared" ca="1" si="44"/>
        <v>9</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Lun</v>
      </c>
      <c r="U180" s="186" t="str">
        <f t="shared" ca="1" si="51"/>
        <v>septembre</v>
      </c>
      <c r="X180" s="347">
        <f t="shared" ca="1" si="55"/>
        <v>46265</v>
      </c>
      <c r="Y180" s="452" t="str">
        <f t="shared" ca="1" si="52"/>
        <v>Lun. septembre , 2026</v>
      </c>
      <c r="Z180" s="143">
        <f t="shared" ca="1" si="43"/>
        <v>30</v>
      </c>
      <c r="AA180" s="348">
        <f t="shared" ca="1" si="44"/>
        <v>9</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Lun</v>
      </c>
      <c r="U181" s="186" t="str">
        <f t="shared" ca="1" si="51"/>
        <v>septembre</v>
      </c>
      <c r="X181" s="347">
        <f t="shared" ca="1" si="55"/>
        <v>46265</v>
      </c>
      <c r="Y181" s="452" t="str">
        <f t="shared" ca="1" si="52"/>
        <v>Lun. septembre , 2026</v>
      </c>
      <c r="Z181" s="143">
        <f t="shared" ca="1" si="43"/>
        <v>30</v>
      </c>
      <c r="AA181" s="348">
        <f t="shared" ca="1" si="44"/>
        <v>9</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Lun</v>
      </c>
      <c r="U182" s="186" t="str">
        <f t="shared" ca="1" si="51"/>
        <v>septembre</v>
      </c>
      <c r="X182" s="347">
        <f t="shared" ca="1" si="55"/>
        <v>46265</v>
      </c>
      <c r="Y182" s="452" t="str">
        <f t="shared" ca="1" si="52"/>
        <v>Lun. septembre , 2026</v>
      </c>
      <c r="Z182" s="143">
        <f t="shared" ca="1" si="43"/>
        <v>30</v>
      </c>
      <c r="AA182" s="348">
        <f t="shared" ca="1" si="44"/>
        <v>9</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Lun</v>
      </c>
      <c r="U183" s="186" t="str">
        <f t="shared" ca="1" si="51"/>
        <v>septembre</v>
      </c>
      <c r="X183" s="347">
        <f t="shared" ca="1" si="55"/>
        <v>46265</v>
      </c>
      <c r="Y183" s="452" t="str">
        <f t="shared" ca="1" si="52"/>
        <v>Lun. septembre , 2026</v>
      </c>
      <c r="Z183" s="143">
        <f t="shared" ca="1" si="43"/>
        <v>30</v>
      </c>
      <c r="AA183" s="348">
        <f t="shared" ca="1" si="44"/>
        <v>9</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Lun</v>
      </c>
      <c r="U184" s="186" t="str">
        <f t="shared" ca="1" si="51"/>
        <v>septembre</v>
      </c>
      <c r="X184" s="347">
        <f t="shared" ca="1" si="55"/>
        <v>46265</v>
      </c>
      <c r="Y184" s="452" t="str">
        <f t="shared" ca="1" si="52"/>
        <v>Lun. septembre , 2026</v>
      </c>
      <c r="Z184" s="143">
        <f t="shared" ca="1" si="43"/>
        <v>30</v>
      </c>
      <c r="AA184" s="348">
        <f t="shared" ca="1" si="44"/>
        <v>9</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Lun</v>
      </c>
      <c r="U185" s="186" t="str">
        <f t="shared" ca="1" si="51"/>
        <v>septembre</v>
      </c>
      <c r="X185" s="347">
        <f t="shared" ca="1" si="55"/>
        <v>46265</v>
      </c>
      <c r="Y185" s="452" t="str">
        <f t="shared" ca="1" si="52"/>
        <v>Lun. septembre , 2026</v>
      </c>
      <c r="Z185" s="143">
        <f t="shared" ca="1" si="43"/>
        <v>30</v>
      </c>
      <c r="AA185" s="348">
        <f t="shared" ca="1" si="44"/>
        <v>9</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Lun</v>
      </c>
      <c r="U186" s="186" t="str">
        <f t="shared" ca="1" si="51"/>
        <v>septembre</v>
      </c>
      <c r="X186" s="347">
        <f t="shared" ca="1" si="55"/>
        <v>46265</v>
      </c>
      <c r="Y186" s="452" t="str">
        <f t="shared" ca="1" si="52"/>
        <v>Lun. septembre , 2026</v>
      </c>
      <c r="Z186" s="143">
        <f t="shared" ca="1" si="43"/>
        <v>30</v>
      </c>
      <c r="AA186" s="348">
        <f t="shared" ca="1" si="44"/>
        <v>9</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Lun</v>
      </c>
      <c r="U187" s="186" t="str">
        <f t="shared" ca="1" si="51"/>
        <v>septembre</v>
      </c>
      <c r="X187" s="347">
        <f t="shared" ca="1" si="55"/>
        <v>46265</v>
      </c>
      <c r="Y187" s="452" t="str">
        <f t="shared" ca="1" si="52"/>
        <v>Lun. septembre , 2026</v>
      </c>
      <c r="Z187" s="143">
        <f t="shared" ca="1" si="43"/>
        <v>30</v>
      </c>
      <c r="AA187" s="348">
        <f t="shared" ca="1" si="44"/>
        <v>9</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Lun</v>
      </c>
      <c r="U188" s="186" t="str">
        <f t="shared" ca="1" si="51"/>
        <v>septembre</v>
      </c>
      <c r="X188" s="347">
        <f t="shared" ca="1" si="55"/>
        <v>46265</v>
      </c>
      <c r="Y188" s="452" t="str">
        <f t="shared" ca="1" si="52"/>
        <v>Lun. septembre , 2026</v>
      </c>
      <c r="Z188" s="143">
        <f t="shared" ca="1" si="43"/>
        <v>30</v>
      </c>
      <c r="AA188" s="348">
        <f t="shared" ca="1" si="44"/>
        <v>9</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Lun</v>
      </c>
      <c r="U189" s="186" t="str">
        <f t="shared" ca="1" si="51"/>
        <v>septembre</v>
      </c>
      <c r="X189" s="347">
        <f t="shared" ca="1" si="55"/>
        <v>46265</v>
      </c>
      <c r="Y189" s="452" t="str">
        <f t="shared" ca="1" si="52"/>
        <v>Lun. septembre , 2026</v>
      </c>
      <c r="Z189" s="143">
        <f t="shared" ca="1" si="43"/>
        <v>30</v>
      </c>
      <c r="AA189" s="348">
        <f t="shared" ca="1" si="44"/>
        <v>9</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Lun</v>
      </c>
      <c r="U190" s="186" t="str">
        <f t="shared" ca="1" si="51"/>
        <v>septembre</v>
      </c>
      <c r="X190" s="347">
        <f t="shared" ca="1" si="55"/>
        <v>46265</v>
      </c>
      <c r="Y190" s="452" t="str">
        <f t="shared" ca="1" si="52"/>
        <v>Lun. septembre , 2026</v>
      </c>
      <c r="Z190" s="143">
        <f t="shared" ca="1" si="43"/>
        <v>30</v>
      </c>
      <c r="AA190" s="348">
        <f t="shared" ca="1" si="44"/>
        <v>9</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Lun</v>
      </c>
      <c r="U191" s="186" t="str">
        <f t="shared" ca="1" si="51"/>
        <v>septembre</v>
      </c>
      <c r="X191" s="347">
        <f t="shared" ca="1" si="55"/>
        <v>46265</v>
      </c>
      <c r="Y191" s="452" t="str">
        <f t="shared" ca="1" si="52"/>
        <v>Lun. septembre , 2026</v>
      </c>
      <c r="Z191" s="143">
        <f t="shared" ca="1" si="43"/>
        <v>30</v>
      </c>
      <c r="AA191" s="348">
        <f t="shared" ca="1" si="44"/>
        <v>9</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Lun</v>
      </c>
      <c r="U192" s="186" t="str">
        <f t="shared" ca="1" si="51"/>
        <v>septembre</v>
      </c>
      <c r="X192" s="347">
        <f t="shared" ca="1" si="55"/>
        <v>46265</v>
      </c>
      <c r="Y192" s="452" t="str">
        <f t="shared" ca="1" si="52"/>
        <v>Lun. septembre , 2026</v>
      </c>
      <c r="Z192" s="143">
        <f t="shared" ca="1" si="43"/>
        <v>30</v>
      </c>
      <c r="AA192" s="348">
        <f t="shared" ca="1" si="44"/>
        <v>9</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Lun</v>
      </c>
      <c r="U193" s="186" t="str">
        <f t="shared" ca="1" si="51"/>
        <v>septembre</v>
      </c>
      <c r="X193" s="347">
        <f t="shared" ca="1" si="55"/>
        <v>46265</v>
      </c>
      <c r="Y193" s="452" t="str">
        <f t="shared" ca="1" si="52"/>
        <v>Lun. septembre , 2026</v>
      </c>
      <c r="Z193" s="143">
        <f t="shared" ca="1" si="43"/>
        <v>30</v>
      </c>
      <c r="AA193" s="348">
        <f t="shared" ca="1" si="44"/>
        <v>9</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Lun</v>
      </c>
      <c r="U194" s="186" t="str">
        <f t="shared" ca="1" si="51"/>
        <v>septembre</v>
      </c>
      <c r="X194" s="347">
        <f t="shared" ca="1" si="55"/>
        <v>46265</v>
      </c>
      <c r="Y194" s="452" t="str">
        <f t="shared" ca="1" si="52"/>
        <v>Lun. septembre , 2026</v>
      </c>
      <c r="Z194" s="143">
        <f t="shared" ca="1" si="43"/>
        <v>30</v>
      </c>
      <c r="AA194" s="348">
        <f t="shared" ca="1" si="44"/>
        <v>9</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30</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30</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30</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30</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30</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81" priority="61" stopIfTrue="1">
      <formula>AND($AJ$2=$AF$5,$X$16=$X$13)</formula>
    </cfRule>
  </conditionalFormatting>
  <conditionalFormatting sqref="B18">
    <cfRule type="expression" dxfId="280" priority="40" stopIfTrue="1">
      <formula>(B18&gt;DATE(2000+$Y$2,$AA$21+1,1)-DATE(2000+$Y$2,$AA$21,1))</formula>
    </cfRule>
  </conditionalFormatting>
  <conditionalFormatting sqref="B20:B194">
    <cfRule type="expression" dxfId="279" priority="7" stopIfTrue="1">
      <formula>($G20="- -")</formula>
    </cfRule>
  </conditionalFormatting>
  <conditionalFormatting sqref="B16:J16">
    <cfRule type="expression" dxfId="278" priority="47" stopIfTrue="1">
      <formula>AND($AJ$2=$AF$5,$X$16=$X$13)</formula>
    </cfRule>
  </conditionalFormatting>
  <conditionalFormatting sqref="C17">
    <cfRule type="cellIs" dxfId="277" priority="46" stopIfTrue="1" operator="equal">
      <formula>"X"</formula>
    </cfRule>
  </conditionalFormatting>
  <conditionalFormatting sqref="C20:C194">
    <cfRule type="expression" dxfId="276" priority="15" stopIfTrue="1">
      <formula>($X$16=$X$14)</formula>
    </cfRule>
    <cfRule type="expression" dxfId="275" priority="16" stopIfTrue="1">
      <formula>($AV20=1)</formula>
    </cfRule>
    <cfRule type="expression" dxfId="274" priority="17" stopIfTrue="1">
      <formula>AND(D20=1+D19,G20=X20)</formula>
    </cfRule>
  </conditionalFormatting>
  <conditionalFormatting sqref="C9:J9">
    <cfRule type="expression" dxfId="273" priority="72" stopIfTrue="1">
      <formula>AND(ISNUMBER(C$9),ISNUMBER(C10),(C$9&gt;C$10))</formula>
    </cfRule>
  </conditionalFormatting>
  <conditionalFormatting sqref="C10:J10">
    <cfRule type="expression" dxfId="272" priority="78" stopIfTrue="1">
      <formula>AND(ISNUMBER(C$9),ISNUMBER(C10),(C$9&gt;C$10))</formula>
    </cfRule>
  </conditionalFormatting>
  <conditionalFormatting sqref="D20">
    <cfRule type="expression" dxfId="271" priority="19" stopIfTrue="1">
      <formula>AND($G20&lt;&gt;"- -",$G20&lt;&gt;$Y20)</formula>
    </cfRule>
    <cfRule type="expression" dxfId="270" priority="20" stopIfTrue="1">
      <formula>($AI20=1)</formula>
    </cfRule>
  </conditionalFormatting>
  <conditionalFormatting sqref="D21:D194">
    <cfRule type="expression" dxfId="269" priority="64" stopIfTrue="1">
      <formula>($AI21=1)</formula>
    </cfRule>
    <cfRule type="expression" dxfId="268" priority="63" stopIfTrue="1">
      <formula>AND($G21&lt;&gt;"- -",$G21&lt;&gt;$Y21)</formula>
    </cfRule>
  </conditionalFormatting>
  <conditionalFormatting sqref="D18:G19">
    <cfRule type="expression" dxfId="267" priority="39" stopIfTrue="1">
      <formula>($AB$16&lt;2)</formula>
    </cfRule>
  </conditionalFormatting>
  <conditionalFormatting sqref="D20:G194">
    <cfRule type="expression" dxfId="266" priority="18" stopIfTrue="1">
      <formula>OR($G20=$G19,$D20=$D19)</formula>
    </cfRule>
  </conditionalFormatting>
  <conditionalFormatting sqref="E8:F8">
    <cfRule type="expression" dxfId="265" priority="74" stopIfTrue="1">
      <formula>AND(ISNUMBER(E$9),ISNUMBER(E10),(E$9&gt;E$10))</formula>
    </cfRule>
    <cfRule type="expression" dxfId="264" priority="73" stopIfTrue="1">
      <formula>(BJ$13&gt;0)</formula>
    </cfRule>
  </conditionalFormatting>
  <conditionalFormatting sqref="E20:G20">
    <cfRule type="expression" dxfId="263" priority="23" stopIfTrue="1">
      <formula>($AI20+$AX20&gt;0)</formula>
    </cfRule>
    <cfRule type="expression" dxfId="262" priority="22" stopIfTrue="1">
      <formula>AND($G20&lt;&gt;"- -",$G20&lt;&gt;$Y20)</formula>
    </cfRule>
  </conditionalFormatting>
  <conditionalFormatting sqref="E21:G194">
    <cfRule type="expression" dxfId="261" priority="67" stopIfTrue="1">
      <formula>($AI21+$AX21&gt;0)</formula>
    </cfRule>
    <cfRule type="expression" dxfId="260" priority="66" stopIfTrue="1">
      <formula>AND($G21&lt;&gt;"- -",$G21&lt;&gt;$Y21)</formula>
    </cfRule>
  </conditionalFormatting>
  <conditionalFormatting sqref="G8:J8">
    <cfRule type="expression" dxfId="259" priority="76" stopIfTrue="1">
      <formula>AND(ISNUMBER(G$9),ISNUMBER(G10),(G$9&gt;G$10))</formula>
    </cfRule>
    <cfRule type="expression" dxfId="258" priority="75" stopIfTrue="1">
      <formula>(BK$13&gt;0)</formula>
    </cfRule>
  </conditionalFormatting>
  <conditionalFormatting sqref="H6:I7">
    <cfRule type="expression" dxfId="257" priority="77" stopIfTrue="1">
      <formula>AND(ISNUMBER($H$7),$H$7&lt;$I$7)</formula>
    </cfRule>
  </conditionalFormatting>
  <conditionalFormatting sqref="H21:J194">
    <cfRule type="expression" dxfId="256" priority="5" stopIfTrue="1">
      <formula>($D20=$D21)</formula>
    </cfRule>
  </conditionalFormatting>
  <conditionalFormatting sqref="J7">
    <cfRule type="cellIs" dxfId="255" priority="51" stopIfTrue="1" operator="lessThan">
      <formula>0</formula>
    </cfRule>
  </conditionalFormatting>
  <conditionalFormatting sqref="K20:K34">
    <cfRule type="expression" dxfId="254" priority="71" stopIfTrue="1">
      <formula>AND(ISNUMBER(K20),ISNUMBER(L20),OR(K20&lt;L19,K20&gt;L20))</formula>
    </cfRule>
  </conditionalFormatting>
  <conditionalFormatting sqref="K35:K194">
    <cfRule type="expression" dxfId="253" priority="60" stopIfTrue="1">
      <formula>AND(ISNUMBER(K35),OR(K35&lt;L34,K35&gt;L35,$BM35&lt;&gt;1))</formula>
    </cfRule>
  </conditionalFormatting>
  <conditionalFormatting sqref="K18:L18 BE19:BF19">
    <cfRule type="expression" dxfId="252" priority="29" stopIfTrue="1">
      <formula>($K$19=$AL$7)</formula>
    </cfRule>
  </conditionalFormatting>
  <conditionalFormatting sqref="K20:M194">
    <cfRule type="expression" dxfId="251" priority="53" stopIfTrue="1">
      <formula>OR($AJ$2=$AF$5,$AW20=0,$AV20=1,$AG20=99)</formula>
    </cfRule>
  </conditionalFormatting>
  <conditionalFormatting sqref="L20:L34">
    <cfRule type="expression" dxfId="250" priority="69" stopIfTrue="1">
      <formula>AND(ISNUMBER(L20),OR(AND(L20&lt;K19,B20&gt;1),K20&gt;L20))</formula>
    </cfRule>
  </conditionalFormatting>
  <conditionalFormatting sqref="L35:L194">
    <cfRule type="expression" dxfId="249" priority="58" stopIfTrue="1">
      <formula>AND(ISNUMBER(L35),OR(AND(L35&lt;K34,B35&gt;1),K35&gt;L35,$BN35&lt;&gt;1))</formula>
    </cfRule>
  </conditionalFormatting>
  <conditionalFormatting sqref="M19 BG20">
    <cfRule type="cellIs" dxfId="248" priority="44" stopIfTrue="1" operator="equal">
      <formula>0</formula>
    </cfRule>
    <cfRule type="expression" dxfId="247" priority="45" stopIfTrue="1">
      <formula>($AJ$2=$AF$5)</formula>
    </cfRule>
  </conditionalFormatting>
  <conditionalFormatting sqref="M20:M194">
    <cfRule type="cellIs" dxfId="246" priority="54" stopIfTrue="1" operator="lessThan">
      <formula>0</formula>
    </cfRule>
    <cfRule type="expression" dxfId="245" priority="55" stopIfTrue="1">
      <formula>($D19=$D20)</formula>
    </cfRule>
  </conditionalFormatting>
  <conditionalFormatting sqref="N19:Q19 BH20:BK20">
    <cfRule type="cellIs" dxfId="244" priority="42" stopIfTrue="1" operator="equal">
      <formula>0</formula>
    </cfRule>
    <cfRule type="expression" dxfId="243" priority="43" stopIfTrue="1">
      <formula>($AJ$2=$AF$5)</formula>
    </cfRule>
  </conditionalFormatting>
  <conditionalFormatting sqref="N20:Q194">
    <cfRule type="expression" dxfId="242" priority="52" stopIfTrue="1">
      <formula>OR($AW20=0,$AV20=1,$AG20=99,$AJ$2=$AF$5)</formula>
    </cfRule>
  </conditionalFormatting>
  <conditionalFormatting sqref="R20:R194">
    <cfRule type="expression" dxfId="241" priority="14" stopIfTrue="1">
      <formula>($AI20=1)</formula>
    </cfRule>
    <cfRule type="expression" dxfId="240" priority="13" stopIfTrue="1">
      <formula>"ND($G21&lt;&gt;""- -"",$G21&lt;&gt;TEXT(X21,""Dddd, Mmmm dd, Yyyy""))"</formula>
    </cfRule>
    <cfRule type="expression" dxfId="239" priority="12" stopIfTrue="1">
      <formula>OR($G20=$G19,$D20=$D19)</formula>
    </cfRule>
  </conditionalFormatting>
  <conditionalFormatting sqref="U5">
    <cfRule type="expression" dxfId="238" priority="25" stopIfTrue="1">
      <formula>OR($AC$7,$AC$6)</formula>
    </cfRule>
  </conditionalFormatting>
  <conditionalFormatting sqref="U18 X20:Z194 AC20:AE194 AK20:AK194 AQ20:AR194">
    <cfRule type="cellIs" dxfId="237" priority="6" stopIfTrue="1" operator="notEqual">
      <formula>U17</formula>
    </cfRule>
  </conditionalFormatting>
  <conditionalFormatting sqref="U201:AB201">
    <cfRule type="expression" dxfId="236" priority="41" stopIfTrue="1">
      <formula>(LEN($X$11)&gt;4)</formula>
    </cfRule>
  </conditionalFormatting>
  <conditionalFormatting sqref="V5:V7 J6 U6:U7">
    <cfRule type="expression" dxfId="235" priority="24" stopIfTrue="1">
      <formula>OR($AC$7,$AC$6,#REF!)</formula>
    </cfRule>
  </conditionalFormatting>
  <conditionalFormatting sqref="V19">
    <cfRule type="cellIs" dxfId="234" priority="26" stopIfTrue="1" operator="equal">
      <formula>1</formula>
    </cfRule>
  </conditionalFormatting>
  <conditionalFormatting sqref="AB6">
    <cfRule type="expression" dxfId="233" priority="32" stopIfTrue="1">
      <formula>$AC$6</formula>
    </cfRule>
  </conditionalFormatting>
  <conditionalFormatting sqref="AB7">
    <cfRule type="expression" dxfId="232" priority="31" stopIfTrue="1">
      <formula>$AC$7</formula>
    </cfRule>
  </conditionalFormatting>
  <conditionalFormatting sqref="AB20:AB194">
    <cfRule type="cellIs" dxfId="231" priority="49" stopIfTrue="1" operator="greaterThan">
      <formula>0</formula>
    </cfRule>
    <cfRule type="cellIs" dxfId="230" priority="50" stopIfTrue="1" operator="lessThan">
      <formula>0</formula>
    </cfRule>
  </conditionalFormatting>
  <conditionalFormatting sqref="AF20:AG194">
    <cfRule type="cellIs" dxfId="229" priority="35" stopIfTrue="1" operator="greaterThan">
      <formula>1</formula>
    </cfRule>
  </conditionalFormatting>
  <conditionalFormatting sqref="AJ16:AJ17 AJ20:AJ194">
    <cfRule type="cellIs" dxfId="228" priority="34" stopIfTrue="1" operator="greaterThan">
      <formula>0</formula>
    </cfRule>
  </conditionalFormatting>
  <conditionalFormatting sqref="AK2:BO2">
    <cfRule type="cellIs" dxfId="227" priority="38" stopIfTrue="1" operator="equal">
      <formula>0</formula>
    </cfRule>
  </conditionalFormatting>
  <conditionalFormatting sqref="AK5:BO6">
    <cfRule type="cellIs" dxfId="226" priority="33" stopIfTrue="1" operator="equal">
      <formula>0</formula>
    </cfRule>
  </conditionalFormatting>
  <conditionalFormatting sqref="AP20:AP194">
    <cfRule type="cellIs" dxfId="225" priority="28" stopIfTrue="1" operator="lessThan">
      <formula>999</formula>
    </cfRule>
  </conditionalFormatting>
  <conditionalFormatting sqref="AU20:AU194">
    <cfRule type="expression" dxfId="224" priority="37" stopIfTrue="1">
      <formula>LEN(AU20)&gt;2</formula>
    </cfRule>
  </conditionalFormatting>
  <conditionalFormatting sqref="AV20:AV194">
    <cfRule type="cellIs" dxfId="223" priority="36" stopIfTrue="1" operator="equal">
      <formula>1</formula>
    </cfRule>
  </conditionalFormatting>
  <conditionalFormatting sqref="AW20:AW194">
    <cfRule type="cellIs" dxfId="222" priority="48" stopIfTrue="1" operator="equal">
      <formula>0</formula>
    </cfRule>
  </conditionalFormatting>
  <conditionalFormatting sqref="BE20:BF20">
    <cfRule type="expression" dxfId="221" priority="30" stopIfTrue="1">
      <formula>($K$19=$AL$7)</formula>
    </cfRule>
  </conditionalFormatting>
  <conditionalFormatting sqref="BI10:BI12 BF11:BF12">
    <cfRule type="expression" dxfId="220" priority="9" stopIfTrue="1">
      <formula>(LEN($C$9)=0)</formula>
    </cfRule>
  </conditionalFormatting>
  <conditionalFormatting sqref="BI10:BN12 BF11:BF12">
    <cfRule type="expression" dxfId="219" priority="8" stopIfTrue="1">
      <formula>LEN($AA9)&gt;4</formula>
    </cfRule>
  </conditionalFormatting>
  <conditionalFormatting sqref="BJ10:BN12">
    <cfRule type="expression" dxfId="218" priority="11" stopIfTrue="1">
      <formula>(LEN(E$9)=0)</formula>
    </cfRule>
  </conditionalFormatting>
  <conditionalFormatting sqref="BJ13:BN13 R16:R17">
    <cfRule type="cellIs" dxfId="217" priority="27" stopIfTrue="1" operator="equal">
      <formula>0</formula>
    </cfRule>
  </conditionalFormatting>
  <conditionalFormatting sqref="BM20:BN194">
    <cfRule type="cellIs" dxfId="216" priority="56" stopIfTrue="1" operator="notEqual">
      <formula>1</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automobile/2026/[electronic-car-log-2025-fr.xlsx]10</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10</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octobre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October</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10</v>
      </c>
      <c r="AE6" s="144" t="str">
        <f ca="1">TEXT(DATE($AE$7,$AD$6,1),"Mmmm, YYYY")</f>
        <v>October,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46295</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octobre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October</v>
      </c>
      <c r="V18" s="510" t="str">
        <f ca="1">AE6</f>
        <v>October,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octobre</v>
      </c>
      <c r="V19" s="510" t="str">
        <f ca="1">U19&amp;" "&amp;Year_four_digits</f>
        <v>octobre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Jeu.  1 octobre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Jeu</v>
      </c>
      <c r="U20" s="186" t="str">
        <f ca="1">$U$19</f>
        <v>octobre</v>
      </c>
      <c r="X20" s="347">
        <f ca="1">$AE$8+D20</f>
        <v>46296</v>
      </c>
      <c r="Y20" s="452" t="str">
        <f ca="1">IF(Y14="f",T20&amp;". "&amp;" "&amp;R20&amp;" "&amp;U20&amp;" "&amp;$AE$7,T20&amp;". "&amp;U20&amp;" "&amp;R20&amp;", "&amp;$AE$7)</f>
        <v>Jeu.  1 octobre 2026</v>
      </c>
      <c r="Z20" s="143">
        <f t="shared" ref="Z20:Z83" ca="1" si="4">MIN(R20,$AF$5)</f>
        <v>1</v>
      </c>
      <c r="AA20" s="348">
        <f t="shared" ref="AA20:AA83" ca="1" si="5">$AD$6</f>
        <v>10</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Mer</v>
      </c>
      <c r="U21" s="186" t="str">
        <f t="shared" ref="U21:U84" ca="1" si="13">$U$19</f>
        <v>octobre</v>
      </c>
      <c r="X21" s="347">
        <f ca="1">$AE$8+D21</f>
        <v>46295</v>
      </c>
      <c r="Y21" s="452" t="str">
        <f t="shared" ref="Y21:Y84" ca="1" si="14">IF(Y15="f",T21&amp;". "&amp;" "&amp;R21&amp;" "&amp;U21&amp;" "&amp;$AE$7,T21&amp;". "&amp;U21&amp;" "&amp;R21&amp;", "&amp;$AE$7)</f>
        <v>Mer. octobre , 2026</v>
      </c>
      <c r="Z21" s="143">
        <f t="shared" ca="1" si="4"/>
        <v>31</v>
      </c>
      <c r="AA21" s="348">
        <f t="shared" ca="1" si="5"/>
        <v>10</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Mer</v>
      </c>
      <c r="U22" s="186" t="str">
        <f t="shared" ca="1" si="13"/>
        <v>octobre</v>
      </c>
      <c r="X22" s="347">
        <f t="shared" ref="X22:X85" ca="1" si="17">$AE$8+D22</f>
        <v>46295</v>
      </c>
      <c r="Y22" s="452" t="str">
        <f t="shared" ca="1" si="14"/>
        <v>Mer. octobre , 2026</v>
      </c>
      <c r="Z22" s="143">
        <f t="shared" ca="1" si="4"/>
        <v>31</v>
      </c>
      <c r="AA22" s="348">
        <f t="shared" ca="1" si="5"/>
        <v>10</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Mer</v>
      </c>
      <c r="U23" s="186" t="str">
        <f t="shared" ca="1" si="13"/>
        <v>octobre</v>
      </c>
      <c r="X23" s="347">
        <f t="shared" ca="1" si="17"/>
        <v>46295</v>
      </c>
      <c r="Y23" s="452" t="str">
        <f t="shared" ca="1" si="14"/>
        <v>Mer. octobre , 2026</v>
      </c>
      <c r="Z23" s="143">
        <f t="shared" ca="1" si="4"/>
        <v>31</v>
      </c>
      <c r="AA23" s="348">
        <f t="shared" ca="1" si="5"/>
        <v>10</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Mer</v>
      </c>
      <c r="U24" s="186" t="str">
        <f t="shared" ca="1" si="13"/>
        <v>octobre</v>
      </c>
      <c r="X24" s="347">
        <f t="shared" ca="1" si="17"/>
        <v>46295</v>
      </c>
      <c r="Y24" s="452" t="str">
        <f t="shared" ca="1" si="14"/>
        <v>Mer. octobre , 2026</v>
      </c>
      <c r="Z24" s="143">
        <f t="shared" ca="1" si="4"/>
        <v>31</v>
      </c>
      <c r="AA24" s="348">
        <f t="shared" ca="1" si="5"/>
        <v>10</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Mer</v>
      </c>
      <c r="U25" s="186" t="str">
        <f t="shared" ca="1" si="13"/>
        <v>octobre</v>
      </c>
      <c r="X25" s="347">
        <f t="shared" ca="1" si="17"/>
        <v>46295</v>
      </c>
      <c r="Y25" s="452" t="str">
        <f t="shared" ca="1" si="14"/>
        <v>Mer. octobre , 2026</v>
      </c>
      <c r="Z25" s="143">
        <f t="shared" ca="1" si="4"/>
        <v>31</v>
      </c>
      <c r="AA25" s="348">
        <f t="shared" ca="1" si="5"/>
        <v>10</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Mer</v>
      </c>
      <c r="U26" s="186" t="str">
        <f t="shared" ca="1" si="13"/>
        <v>octobre</v>
      </c>
      <c r="X26" s="347">
        <f t="shared" ca="1" si="17"/>
        <v>46295</v>
      </c>
      <c r="Y26" s="452" t="str">
        <f t="shared" ca="1" si="14"/>
        <v>Mer. octobre , 2026</v>
      </c>
      <c r="Z26" s="143">
        <f t="shared" ca="1" si="4"/>
        <v>31</v>
      </c>
      <c r="AA26" s="348">
        <f t="shared" ca="1" si="5"/>
        <v>10</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Mer</v>
      </c>
      <c r="U27" s="186" t="str">
        <f t="shared" ca="1" si="13"/>
        <v>octobre</v>
      </c>
      <c r="X27" s="347">
        <f t="shared" ca="1" si="17"/>
        <v>46295</v>
      </c>
      <c r="Y27" s="452" t="str">
        <f t="shared" ca="1" si="14"/>
        <v>Mer. octobre , 2026</v>
      </c>
      <c r="Z27" s="143">
        <f t="shared" ca="1" si="4"/>
        <v>31</v>
      </c>
      <c r="AA27" s="348">
        <f t="shared" ca="1" si="5"/>
        <v>10</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Mer</v>
      </c>
      <c r="U28" s="186" t="str">
        <f t="shared" ca="1" si="13"/>
        <v>octobre</v>
      </c>
      <c r="X28" s="347">
        <f t="shared" ca="1" si="17"/>
        <v>46295</v>
      </c>
      <c r="Y28" s="452" t="str">
        <f t="shared" ca="1" si="14"/>
        <v>Mer. octobre , 2026</v>
      </c>
      <c r="Z28" s="143">
        <f t="shared" ca="1" si="4"/>
        <v>31</v>
      </c>
      <c r="AA28" s="348">
        <f t="shared" ca="1" si="5"/>
        <v>10</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Mer</v>
      </c>
      <c r="U29" s="186" t="str">
        <f t="shared" ca="1" si="13"/>
        <v>octobre</v>
      </c>
      <c r="X29" s="347">
        <f t="shared" ca="1" si="17"/>
        <v>46295</v>
      </c>
      <c r="Y29" s="452" t="str">
        <f t="shared" ca="1" si="14"/>
        <v>Mer. octobre , 2026</v>
      </c>
      <c r="Z29" s="143">
        <f t="shared" ca="1" si="4"/>
        <v>31</v>
      </c>
      <c r="AA29" s="348">
        <f t="shared" ca="1" si="5"/>
        <v>10</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Mer</v>
      </c>
      <c r="U30" s="186" t="str">
        <f t="shared" ca="1" si="13"/>
        <v>octobre</v>
      </c>
      <c r="X30" s="347">
        <f t="shared" ca="1" si="17"/>
        <v>46295</v>
      </c>
      <c r="Y30" s="452" t="str">
        <f t="shared" ca="1" si="14"/>
        <v>Mer. octobre , 2026</v>
      </c>
      <c r="Z30" s="143">
        <f t="shared" ca="1" si="4"/>
        <v>31</v>
      </c>
      <c r="AA30" s="348">
        <f t="shared" ca="1" si="5"/>
        <v>10</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Mer</v>
      </c>
      <c r="U31" s="186" t="str">
        <f t="shared" ca="1" si="13"/>
        <v>octobre</v>
      </c>
      <c r="X31" s="347">
        <f t="shared" ca="1" si="17"/>
        <v>46295</v>
      </c>
      <c r="Y31" s="452" t="str">
        <f t="shared" ca="1" si="14"/>
        <v>Mer. octobre , 2026</v>
      </c>
      <c r="Z31" s="143">
        <f t="shared" ca="1" si="4"/>
        <v>31</v>
      </c>
      <c r="AA31" s="348">
        <f t="shared" ca="1" si="5"/>
        <v>10</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Mer</v>
      </c>
      <c r="U32" s="186" t="str">
        <f t="shared" ca="1" si="13"/>
        <v>octobre</v>
      </c>
      <c r="X32" s="347">
        <f t="shared" ca="1" si="17"/>
        <v>46295</v>
      </c>
      <c r="Y32" s="452" t="str">
        <f t="shared" ca="1" si="14"/>
        <v>Mer. octobre , 2026</v>
      </c>
      <c r="Z32" s="143">
        <f t="shared" ca="1" si="4"/>
        <v>31</v>
      </c>
      <c r="AA32" s="348">
        <f t="shared" ca="1" si="5"/>
        <v>10</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Mer</v>
      </c>
      <c r="U33" s="186" t="str">
        <f t="shared" ca="1" si="13"/>
        <v>octobre</v>
      </c>
      <c r="X33" s="347">
        <f t="shared" ca="1" si="17"/>
        <v>46295</v>
      </c>
      <c r="Y33" s="452" t="str">
        <f t="shared" ca="1" si="14"/>
        <v>Mer. octobre , 2026</v>
      </c>
      <c r="Z33" s="143">
        <f t="shared" ca="1" si="4"/>
        <v>31</v>
      </c>
      <c r="AA33" s="348">
        <f t="shared" ca="1" si="5"/>
        <v>10</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Mer</v>
      </c>
      <c r="U34" s="186" t="str">
        <f t="shared" ca="1" si="13"/>
        <v>octobre</v>
      </c>
      <c r="X34" s="347">
        <f t="shared" ca="1" si="17"/>
        <v>46295</v>
      </c>
      <c r="Y34" s="452" t="str">
        <f t="shared" ca="1" si="14"/>
        <v>Mer. octobre , 2026</v>
      </c>
      <c r="Z34" s="143">
        <f t="shared" ca="1" si="4"/>
        <v>31</v>
      </c>
      <c r="AA34" s="348">
        <f t="shared" ca="1" si="5"/>
        <v>10</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Mer</v>
      </c>
      <c r="U35" s="186" t="str">
        <f t="shared" ca="1" si="13"/>
        <v>octobre</v>
      </c>
      <c r="X35" s="347">
        <f t="shared" ca="1" si="17"/>
        <v>46295</v>
      </c>
      <c r="Y35" s="452" t="str">
        <f t="shared" ca="1" si="14"/>
        <v>Mer. octobre , 2026</v>
      </c>
      <c r="Z35" s="143">
        <f t="shared" ca="1" si="4"/>
        <v>31</v>
      </c>
      <c r="AA35" s="348">
        <f t="shared" ca="1" si="5"/>
        <v>10</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Mer</v>
      </c>
      <c r="U36" s="186" t="str">
        <f t="shared" ca="1" si="13"/>
        <v>octobre</v>
      </c>
      <c r="X36" s="347">
        <f t="shared" ca="1" si="17"/>
        <v>46295</v>
      </c>
      <c r="Y36" s="452" t="str">
        <f t="shared" ca="1" si="14"/>
        <v>Mer. octobre , 2026</v>
      </c>
      <c r="Z36" s="143">
        <f t="shared" ca="1" si="4"/>
        <v>31</v>
      </c>
      <c r="AA36" s="348">
        <f t="shared" ca="1" si="5"/>
        <v>10</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Mer</v>
      </c>
      <c r="U37" s="186" t="str">
        <f t="shared" ca="1" si="13"/>
        <v>octobre</v>
      </c>
      <c r="X37" s="347">
        <f t="shared" ca="1" si="17"/>
        <v>46295</v>
      </c>
      <c r="Y37" s="452" t="str">
        <f t="shared" ca="1" si="14"/>
        <v>Mer. octobre , 2026</v>
      </c>
      <c r="Z37" s="143">
        <f t="shared" ca="1" si="4"/>
        <v>31</v>
      </c>
      <c r="AA37" s="348">
        <f t="shared" ca="1" si="5"/>
        <v>10</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Mer</v>
      </c>
      <c r="U38" s="186" t="str">
        <f t="shared" ca="1" si="13"/>
        <v>octobre</v>
      </c>
      <c r="X38" s="347">
        <f t="shared" ca="1" si="17"/>
        <v>46295</v>
      </c>
      <c r="Y38" s="452" t="str">
        <f t="shared" ca="1" si="14"/>
        <v>Mer. octobre , 2026</v>
      </c>
      <c r="Z38" s="143">
        <f t="shared" ca="1" si="4"/>
        <v>31</v>
      </c>
      <c r="AA38" s="348">
        <f t="shared" ca="1" si="5"/>
        <v>10</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Mer</v>
      </c>
      <c r="U39" s="186" t="str">
        <f t="shared" ca="1" si="13"/>
        <v>octobre</v>
      </c>
      <c r="X39" s="347">
        <f t="shared" ca="1" si="17"/>
        <v>46295</v>
      </c>
      <c r="Y39" s="452" t="str">
        <f t="shared" ca="1" si="14"/>
        <v>Mer. octobre , 2026</v>
      </c>
      <c r="Z39" s="143">
        <f t="shared" ca="1" si="4"/>
        <v>31</v>
      </c>
      <c r="AA39" s="348">
        <f t="shared" ca="1" si="5"/>
        <v>10</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Mer</v>
      </c>
      <c r="U40" s="186" t="str">
        <f t="shared" ca="1" si="13"/>
        <v>octobre</v>
      </c>
      <c r="X40" s="347">
        <f t="shared" ca="1" si="17"/>
        <v>46295</v>
      </c>
      <c r="Y40" s="452" t="str">
        <f t="shared" ca="1" si="14"/>
        <v>Mer. octobre , 2026</v>
      </c>
      <c r="Z40" s="143">
        <f t="shared" ca="1" si="4"/>
        <v>31</v>
      </c>
      <c r="AA40" s="348">
        <f t="shared" ca="1" si="5"/>
        <v>10</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Mer</v>
      </c>
      <c r="U41" s="186" t="str">
        <f t="shared" ca="1" si="13"/>
        <v>octobre</v>
      </c>
      <c r="X41" s="347">
        <f t="shared" ca="1" si="17"/>
        <v>46295</v>
      </c>
      <c r="Y41" s="452" t="str">
        <f t="shared" ca="1" si="14"/>
        <v>Mer. octobre , 2026</v>
      </c>
      <c r="Z41" s="143">
        <f t="shared" ca="1" si="4"/>
        <v>31</v>
      </c>
      <c r="AA41" s="348">
        <f t="shared" ca="1" si="5"/>
        <v>10</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Mer</v>
      </c>
      <c r="U42" s="186" t="str">
        <f t="shared" ca="1" si="13"/>
        <v>octobre</v>
      </c>
      <c r="X42" s="347">
        <f t="shared" ca="1" si="17"/>
        <v>46295</v>
      </c>
      <c r="Y42" s="452" t="str">
        <f t="shared" ca="1" si="14"/>
        <v>Mer. octobre , 2026</v>
      </c>
      <c r="Z42" s="143">
        <f t="shared" ca="1" si="4"/>
        <v>31</v>
      </c>
      <c r="AA42" s="348">
        <f t="shared" ca="1" si="5"/>
        <v>10</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Mer</v>
      </c>
      <c r="U43" s="186" t="str">
        <f t="shared" ca="1" si="13"/>
        <v>octobre</v>
      </c>
      <c r="X43" s="347">
        <f t="shared" ca="1" si="17"/>
        <v>46295</v>
      </c>
      <c r="Y43" s="452" t="str">
        <f t="shared" ca="1" si="14"/>
        <v>Mer. octobre , 2026</v>
      </c>
      <c r="Z43" s="143">
        <f t="shared" ca="1" si="4"/>
        <v>31</v>
      </c>
      <c r="AA43" s="348">
        <f t="shared" ca="1" si="5"/>
        <v>10</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Mer</v>
      </c>
      <c r="U44" s="186" t="str">
        <f t="shared" ca="1" si="13"/>
        <v>octobre</v>
      </c>
      <c r="X44" s="347">
        <f t="shared" ca="1" si="17"/>
        <v>46295</v>
      </c>
      <c r="Y44" s="452" t="str">
        <f t="shared" ca="1" si="14"/>
        <v>Mer. octobre , 2026</v>
      </c>
      <c r="Z44" s="143">
        <f t="shared" ca="1" si="4"/>
        <v>31</v>
      </c>
      <c r="AA44" s="348">
        <f t="shared" ca="1" si="5"/>
        <v>10</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Mer</v>
      </c>
      <c r="U45" s="186" t="str">
        <f t="shared" ca="1" si="13"/>
        <v>octobre</v>
      </c>
      <c r="X45" s="347">
        <f t="shared" ca="1" si="17"/>
        <v>46295</v>
      </c>
      <c r="Y45" s="452" t="str">
        <f t="shared" ca="1" si="14"/>
        <v>Mer. octobre , 2026</v>
      </c>
      <c r="Z45" s="143">
        <f t="shared" ca="1" si="4"/>
        <v>31</v>
      </c>
      <c r="AA45" s="348">
        <f t="shared" ca="1" si="5"/>
        <v>10</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Mer</v>
      </c>
      <c r="U46" s="186" t="str">
        <f t="shared" ca="1" si="13"/>
        <v>octobre</v>
      </c>
      <c r="X46" s="347">
        <f t="shared" ca="1" si="17"/>
        <v>46295</v>
      </c>
      <c r="Y46" s="452" t="str">
        <f t="shared" ca="1" si="14"/>
        <v>Mer. octobre , 2026</v>
      </c>
      <c r="Z46" s="143">
        <f t="shared" ca="1" si="4"/>
        <v>31</v>
      </c>
      <c r="AA46" s="348">
        <f t="shared" ca="1" si="5"/>
        <v>10</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Mer</v>
      </c>
      <c r="U47" s="186" t="str">
        <f t="shared" ca="1" si="13"/>
        <v>octobre</v>
      </c>
      <c r="X47" s="347">
        <f t="shared" ca="1" si="17"/>
        <v>46295</v>
      </c>
      <c r="Y47" s="452" t="str">
        <f t="shared" ca="1" si="14"/>
        <v>Mer. octobre , 2026</v>
      </c>
      <c r="Z47" s="143">
        <f t="shared" ca="1" si="4"/>
        <v>31</v>
      </c>
      <c r="AA47" s="348">
        <f t="shared" ca="1" si="5"/>
        <v>10</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Mer</v>
      </c>
      <c r="U48" s="186" t="str">
        <f t="shared" ca="1" si="13"/>
        <v>octobre</v>
      </c>
      <c r="X48" s="347">
        <f t="shared" ca="1" si="17"/>
        <v>46295</v>
      </c>
      <c r="Y48" s="452" t="str">
        <f t="shared" ca="1" si="14"/>
        <v>Mer. octobre , 2026</v>
      </c>
      <c r="Z48" s="143">
        <f t="shared" ca="1" si="4"/>
        <v>31</v>
      </c>
      <c r="AA48" s="348">
        <f t="shared" ca="1" si="5"/>
        <v>10</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Mer</v>
      </c>
      <c r="U49" s="186" t="str">
        <f t="shared" ca="1" si="13"/>
        <v>octobre</v>
      </c>
      <c r="X49" s="347">
        <f t="shared" ca="1" si="17"/>
        <v>46295</v>
      </c>
      <c r="Y49" s="452" t="str">
        <f t="shared" ca="1" si="14"/>
        <v>Mer. octobre , 2026</v>
      </c>
      <c r="Z49" s="143">
        <f t="shared" ca="1" si="4"/>
        <v>31</v>
      </c>
      <c r="AA49" s="348">
        <f t="shared" ca="1" si="5"/>
        <v>10</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Mer</v>
      </c>
      <c r="U50" s="186" t="str">
        <f t="shared" ca="1" si="13"/>
        <v>octobre</v>
      </c>
      <c r="X50" s="347">
        <f t="shared" ca="1" si="17"/>
        <v>46295</v>
      </c>
      <c r="Y50" s="452" t="str">
        <f t="shared" ca="1" si="14"/>
        <v>Mer. octobre , 2026</v>
      </c>
      <c r="Z50" s="143">
        <f t="shared" ca="1" si="4"/>
        <v>31</v>
      </c>
      <c r="AA50" s="348">
        <f t="shared" ca="1" si="5"/>
        <v>10</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Mer</v>
      </c>
      <c r="U51" s="186" t="str">
        <f t="shared" ca="1" si="13"/>
        <v>octobre</v>
      </c>
      <c r="X51" s="347">
        <f t="shared" ca="1" si="17"/>
        <v>46295</v>
      </c>
      <c r="Y51" s="452" t="str">
        <f t="shared" ca="1" si="14"/>
        <v>Mer. octobre , 2026</v>
      </c>
      <c r="Z51" s="143">
        <f t="shared" ca="1" si="4"/>
        <v>31</v>
      </c>
      <c r="AA51" s="348">
        <f t="shared" ca="1" si="5"/>
        <v>10</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Mer</v>
      </c>
      <c r="U52" s="186" t="str">
        <f t="shared" ca="1" si="13"/>
        <v>octobre</v>
      </c>
      <c r="X52" s="347">
        <f t="shared" ca="1" si="17"/>
        <v>46295</v>
      </c>
      <c r="Y52" s="452" t="str">
        <f t="shared" ca="1" si="14"/>
        <v>Mer. octobre , 2026</v>
      </c>
      <c r="Z52" s="143">
        <f t="shared" ca="1" si="4"/>
        <v>31</v>
      </c>
      <c r="AA52" s="348">
        <f t="shared" ca="1" si="5"/>
        <v>10</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Mer</v>
      </c>
      <c r="U53" s="186" t="str">
        <f t="shared" ca="1" si="13"/>
        <v>octobre</v>
      </c>
      <c r="X53" s="347">
        <f t="shared" ca="1" si="17"/>
        <v>46295</v>
      </c>
      <c r="Y53" s="452" t="str">
        <f t="shared" ca="1" si="14"/>
        <v>Mer. octobre , 2026</v>
      </c>
      <c r="Z53" s="143">
        <f t="shared" ca="1" si="4"/>
        <v>31</v>
      </c>
      <c r="AA53" s="348">
        <f t="shared" ca="1" si="5"/>
        <v>10</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Mer</v>
      </c>
      <c r="U54" s="186" t="str">
        <f t="shared" ca="1" si="13"/>
        <v>octobre</v>
      </c>
      <c r="X54" s="347">
        <f t="shared" ca="1" si="17"/>
        <v>46295</v>
      </c>
      <c r="Y54" s="452" t="str">
        <f t="shared" ca="1" si="14"/>
        <v>Mer. octobre , 2026</v>
      </c>
      <c r="Z54" s="143">
        <f t="shared" ca="1" si="4"/>
        <v>31</v>
      </c>
      <c r="AA54" s="348">
        <f t="shared" ca="1" si="5"/>
        <v>10</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Mer</v>
      </c>
      <c r="U55" s="186" t="str">
        <f t="shared" ca="1" si="13"/>
        <v>octobre</v>
      </c>
      <c r="X55" s="347">
        <f t="shared" ca="1" si="17"/>
        <v>46295</v>
      </c>
      <c r="Y55" s="452" t="str">
        <f t="shared" ca="1" si="14"/>
        <v>Mer. octobre , 2026</v>
      </c>
      <c r="Z55" s="143">
        <f t="shared" ca="1" si="4"/>
        <v>31</v>
      </c>
      <c r="AA55" s="348">
        <f t="shared" ca="1" si="5"/>
        <v>10</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Mer</v>
      </c>
      <c r="U56" s="186" t="str">
        <f t="shared" ca="1" si="13"/>
        <v>octobre</v>
      </c>
      <c r="X56" s="347">
        <f t="shared" ca="1" si="17"/>
        <v>46295</v>
      </c>
      <c r="Y56" s="452" t="str">
        <f t="shared" ca="1" si="14"/>
        <v>Mer. octobre , 2026</v>
      </c>
      <c r="Z56" s="143">
        <f t="shared" ca="1" si="4"/>
        <v>31</v>
      </c>
      <c r="AA56" s="348">
        <f t="shared" ca="1" si="5"/>
        <v>10</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Mer</v>
      </c>
      <c r="U57" s="186" t="str">
        <f t="shared" ca="1" si="13"/>
        <v>octobre</v>
      </c>
      <c r="X57" s="347">
        <f t="shared" ca="1" si="17"/>
        <v>46295</v>
      </c>
      <c r="Y57" s="452" t="str">
        <f t="shared" ca="1" si="14"/>
        <v>Mer. octobre , 2026</v>
      </c>
      <c r="Z57" s="143">
        <f t="shared" ca="1" si="4"/>
        <v>31</v>
      </c>
      <c r="AA57" s="348">
        <f t="shared" ca="1" si="5"/>
        <v>10</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Mer</v>
      </c>
      <c r="U58" s="186" t="str">
        <f t="shared" ca="1" si="13"/>
        <v>octobre</v>
      </c>
      <c r="X58" s="347">
        <f t="shared" ca="1" si="17"/>
        <v>46295</v>
      </c>
      <c r="Y58" s="452" t="str">
        <f t="shared" ca="1" si="14"/>
        <v>Mer. octobre , 2026</v>
      </c>
      <c r="Z58" s="143">
        <f t="shared" ca="1" si="4"/>
        <v>31</v>
      </c>
      <c r="AA58" s="348">
        <f t="shared" ca="1" si="5"/>
        <v>10</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Mer</v>
      </c>
      <c r="U59" s="186" t="str">
        <f t="shared" ca="1" si="13"/>
        <v>octobre</v>
      </c>
      <c r="X59" s="347">
        <f t="shared" ca="1" si="17"/>
        <v>46295</v>
      </c>
      <c r="Y59" s="452" t="str">
        <f t="shared" ca="1" si="14"/>
        <v>Mer. octobre , 2026</v>
      </c>
      <c r="Z59" s="143">
        <f t="shared" ca="1" si="4"/>
        <v>31</v>
      </c>
      <c r="AA59" s="348">
        <f t="shared" ca="1" si="5"/>
        <v>10</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Mer</v>
      </c>
      <c r="U60" s="186" t="str">
        <f t="shared" ca="1" si="13"/>
        <v>octobre</v>
      </c>
      <c r="X60" s="347">
        <f t="shared" ca="1" si="17"/>
        <v>46295</v>
      </c>
      <c r="Y60" s="452" t="str">
        <f t="shared" ca="1" si="14"/>
        <v>Mer. octobre , 2026</v>
      </c>
      <c r="Z60" s="143">
        <f t="shared" ca="1" si="4"/>
        <v>31</v>
      </c>
      <c r="AA60" s="348">
        <f t="shared" ca="1" si="5"/>
        <v>10</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Mer</v>
      </c>
      <c r="U61" s="186" t="str">
        <f t="shared" ca="1" si="13"/>
        <v>octobre</v>
      </c>
      <c r="X61" s="347">
        <f t="shared" ca="1" si="17"/>
        <v>46295</v>
      </c>
      <c r="Y61" s="452" t="str">
        <f t="shared" ca="1" si="14"/>
        <v>Mer. octobre , 2026</v>
      </c>
      <c r="Z61" s="143">
        <f t="shared" ca="1" si="4"/>
        <v>31</v>
      </c>
      <c r="AA61" s="348">
        <f t="shared" ca="1" si="5"/>
        <v>10</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Mer</v>
      </c>
      <c r="U62" s="186" t="str">
        <f t="shared" ca="1" si="13"/>
        <v>octobre</v>
      </c>
      <c r="X62" s="347">
        <f t="shared" ca="1" si="17"/>
        <v>46295</v>
      </c>
      <c r="Y62" s="452" t="str">
        <f t="shared" ca="1" si="14"/>
        <v>Mer. octobre , 2026</v>
      </c>
      <c r="Z62" s="143">
        <f t="shared" ca="1" si="4"/>
        <v>31</v>
      </c>
      <c r="AA62" s="348">
        <f t="shared" ca="1" si="5"/>
        <v>10</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Mer</v>
      </c>
      <c r="U63" s="186" t="str">
        <f t="shared" ca="1" si="13"/>
        <v>octobre</v>
      </c>
      <c r="X63" s="347">
        <f t="shared" ca="1" si="17"/>
        <v>46295</v>
      </c>
      <c r="Y63" s="452" t="str">
        <f t="shared" ca="1" si="14"/>
        <v>Mer. octobre , 2026</v>
      </c>
      <c r="Z63" s="143">
        <f t="shared" ca="1" si="4"/>
        <v>31</v>
      </c>
      <c r="AA63" s="348">
        <f t="shared" ca="1" si="5"/>
        <v>10</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Mer</v>
      </c>
      <c r="U64" s="186" t="str">
        <f t="shared" ca="1" si="13"/>
        <v>octobre</v>
      </c>
      <c r="X64" s="347">
        <f t="shared" ca="1" si="17"/>
        <v>46295</v>
      </c>
      <c r="Y64" s="452" t="str">
        <f t="shared" ca="1" si="14"/>
        <v>Mer. octobre , 2026</v>
      </c>
      <c r="Z64" s="143">
        <f t="shared" ca="1" si="4"/>
        <v>31</v>
      </c>
      <c r="AA64" s="348">
        <f t="shared" ca="1" si="5"/>
        <v>10</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Mer</v>
      </c>
      <c r="U65" s="186" t="str">
        <f t="shared" ca="1" si="13"/>
        <v>octobre</v>
      </c>
      <c r="X65" s="347">
        <f t="shared" ca="1" si="17"/>
        <v>46295</v>
      </c>
      <c r="Y65" s="452" t="str">
        <f t="shared" ca="1" si="14"/>
        <v>Mer. octobre , 2026</v>
      </c>
      <c r="Z65" s="143">
        <f t="shared" ca="1" si="4"/>
        <v>31</v>
      </c>
      <c r="AA65" s="348">
        <f t="shared" ca="1" si="5"/>
        <v>10</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Mer</v>
      </c>
      <c r="U66" s="186" t="str">
        <f t="shared" ca="1" si="13"/>
        <v>octobre</v>
      </c>
      <c r="X66" s="347">
        <f t="shared" ca="1" si="17"/>
        <v>46295</v>
      </c>
      <c r="Y66" s="452" t="str">
        <f t="shared" ca="1" si="14"/>
        <v>Mer. octobre , 2026</v>
      </c>
      <c r="Z66" s="143">
        <f t="shared" ca="1" si="4"/>
        <v>31</v>
      </c>
      <c r="AA66" s="348">
        <f t="shared" ca="1" si="5"/>
        <v>10</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Mer</v>
      </c>
      <c r="U67" s="186" t="str">
        <f t="shared" ca="1" si="13"/>
        <v>octobre</v>
      </c>
      <c r="X67" s="347">
        <f t="shared" ca="1" si="17"/>
        <v>46295</v>
      </c>
      <c r="Y67" s="452" t="str">
        <f t="shared" ca="1" si="14"/>
        <v>Mer. octobre , 2026</v>
      </c>
      <c r="Z67" s="143">
        <f t="shared" ca="1" si="4"/>
        <v>31</v>
      </c>
      <c r="AA67" s="348">
        <f t="shared" ca="1" si="5"/>
        <v>10</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Mer</v>
      </c>
      <c r="U68" s="186" t="str">
        <f t="shared" ca="1" si="13"/>
        <v>octobre</v>
      </c>
      <c r="X68" s="347">
        <f t="shared" ca="1" si="17"/>
        <v>46295</v>
      </c>
      <c r="Y68" s="452" t="str">
        <f t="shared" ca="1" si="14"/>
        <v>Mer. octobre , 2026</v>
      </c>
      <c r="Z68" s="143">
        <f t="shared" ca="1" si="4"/>
        <v>31</v>
      </c>
      <c r="AA68" s="348">
        <f t="shared" ca="1" si="5"/>
        <v>10</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Mer</v>
      </c>
      <c r="U69" s="186" t="str">
        <f t="shared" ca="1" si="13"/>
        <v>octobre</v>
      </c>
      <c r="X69" s="347">
        <f t="shared" ca="1" si="17"/>
        <v>46295</v>
      </c>
      <c r="Y69" s="452" t="str">
        <f t="shared" ca="1" si="14"/>
        <v>Mer. octobre , 2026</v>
      </c>
      <c r="Z69" s="143">
        <f t="shared" ca="1" si="4"/>
        <v>31</v>
      </c>
      <c r="AA69" s="348">
        <f t="shared" ca="1" si="5"/>
        <v>10</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Mer</v>
      </c>
      <c r="U70" s="186" t="str">
        <f t="shared" ca="1" si="13"/>
        <v>octobre</v>
      </c>
      <c r="X70" s="347">
        <f t="shared" ca="1" si="17"/>
        <v>46295</v>
      </c>
      <c r="Y70" s="452" t="str">
        <f t="shared" ca="1" si="14"/>
        <v>Mer. octobre , 2026</v>
      </c>
      <c r="Z70" s="143">
        <f t="shared" ca="1" si="4"/>
        <v>31</v>
      </c>
      <c r="AA70" s="348">
        <f t="shared" ca="1" si="5"/>
        <v>10</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Mer</v>
      </c>
      <c r="U71" s="186" t="str">
        <f t="shared" ca="1" si="13"/>
        <v>octobre</v>
      </c>
      <c r="X71" s="347">
        <f t="shared" ca="1" si="17"/>
        <v>46295</v>
      </c>
      <c r="Y71" s="452" t="str">
        <f t="shared" ca="1" si="14"/>
        <v>Mer. octobre , 2026</v>
      </c>
      <c r="Z71" s="143">
        <f t="shared" ca="1" si="4"/>
        <v>31</v>
      </c>
      <c r="AA71" s="348">
        <f t="shared" ca="1" si="5"/>
        <v>10</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Mer</v>
      </c>
      <c r="U72" s="186" t="str">
        <f t="shared" ca="1" si="13"/>
        <v>octobre</v>
      </c>
      <c r="X72" s="347">
        <f t="shared" ca="1" si="17"/>
        <v>46295</v>
      </c>
      <c r="Y72" s="452" t="str">
        <f t="shared" ca="1" si="14"/>
        <v>Mer. octobre , 2026</v>
      </c>
      <c r="Z72" s="143">
        <f t="shared" ca="1" si="4"/>
        <v>31</v>
      </c>
      <c r="AA72" s="348">
        <f t="shared" ca="1" si="5"/>
        <v>10</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Mer</v>
      </c>
      <c r="U73" s="186" t="str">
        <f t="shared" ca="1" si="13"/>
        <v>octobre</v>
      </c>
      <c r="X73" s="347">
        <f t="shared" ca="1" si="17"/>
        <v>46295</v>
      </c>
      <c r="Y73" s="452" t="str">
        <f t="shared" ca="1" si="14"/>
        <v>Mer. octobre , 2026</v>
      </c>
      <c r="Z73" s="143">
        <f t="shared" ca="1" si="4"/>
        <v>31</v>
      </c>
      <c r="AA73" s="348">
        <f t="shared" ca="1" si="5"/>
        <v>10</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Mer</v>
      </c>
      <c r="U74" s="186" t="str">
        <f t="shared" ca="1" si="13"/>
        <v>octobre</v>
      </c>
      <c r="X74" s="347">
        <f t="shared" ca="1" si="17"/>
        <v>46295</v>
      </c>
      <c r="Y74" s="452" t="str">
        <f t="shared" ca="1" si="14"/>
        <v>Mer. octobre , 2026</v>
      </c>
      <c r="Z74" s="143">
        <f t="shared" ca="1" si="4"/>
        <v>31</v>
      </c>
      <c r="AA74" s="348">
        <f t="shared" ca="1" si="5"/>
        <v>10</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Mer</v>
      </c>
      <c r="U75" s="186" t="str">
        <f t="shared" ca="1" si="13"/>
        <v>octobre</v>
      </c>
      <c r="X75" s="347">
        <f t="shared" ca="1" si="17"/>
        <v>46295</v>
      </c>
      <c r="Y75" s="452" t="str">
        <f t="shared" ca="1" si="14"/>
        <v>Mer. octobre , 2026</v>
      </c>
      <c r="Z75" s="143">
        <f t="shared" ca="1" si="4"/>
        <v>31</v>
      </c>
      <c r="AA75" s="348">
        <f t="shared" ca="1" si="5"/>
        <v>10</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Mer</v>
      </c>
      <c r="U76" s="186" t="str">
        <f t="shared" ca="1" si="13"/>
        <v>octobre</v>
      </c>
      <c r="X76" s="347">
        <f t="shared" ca="1" si="17"/>
        <v>46295</v>
      </c>
      <c r="Y76" s="452" t="str">
        <f t="shared" ca="1" si="14"/>
        <v>Mer. octobre , 2026</v>
      </c>
      <c r="Z76" s="143">
        <f t="shared" ca="1" si="4"/>
        <v>31</v>
      </c>
      <c r="AA76" s="348">
        <f t="shared" ca="1" si="5"/>
        <v>10</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Mer</v>
      </c>
      <c r="U77" s="186" t="str">
        <f t="shared" ca="1" si="13"/>
        <v>octobre</v>
      </c>
      <c r="X77" s="347">
        <f t="shared" ca="1" si="17"/>
        <v>46295</v>
      </c>
      <c r="Y77" s="452" t="str">
        <f t="shared" ca="1" si="14"/>
        <v>Mer. octobre , 2026</v>
      </c>
      <c r="Z77" s="143">
        <f t="shared" ca="1" si="4"/>
        <v>31</v>
      </c>
      <c r="AA77" s="348">
        <f t="shared" ca="1" si="5"/>
        <v>10</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Mer</v>
      </c>
      <c r="U78" s="186" t="str">
        <f t="shared" ca="1" si="13"/>
        <v>octobre</v>
      </c>
      <c r="X78" s="347">
        <f t="shared" ca="1" si="17"/>
        <v>46295</v>
      </c>
      <c r="Y78" s="452" t="str">
        <f t="shared" ca="1" si="14"/>
        <v>Mer. octobre , 2026</v>
      </c>
      <c r="Z78" s="143">
        <f t="shared" ca="1" si="4"/>
        <v>31</v>
      </c>
      <c r="AA78" s="348">
        <f t="shared" ca="1" si="5"/>
        <v>10</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Mer</v>
      </c>
      <c r="U79" s="186" t="str">
        <f t="shared" ca="1" si="13"/>
        <v>octobre</v>
      </c>
      <c r="X79" s="347">
        <f t="shared" ca="1" si="17"/>
        <v>46295</v>
      </c>
      <c r="Y79" s="452" t="str">
        <f t="shared" ca="1" si="14"/>
        <v>Mer. octobre , 2026</v>
      </c>
      <c r="Z79" s="143">
        <f t="shared" ca="1" si="4"/>
        <v>31</v>
      </c>
      <c r="AA79" s="348">
        <f t="shared" ca="1" si="5"/>
        <v>10</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Mer</v>
      </c>
      <c r="U80" s="186" t="str">
        <f t="shared" ca="1" si="13"/>
        <v>octobre</v>
      </c>
      <c r="X80" s="347">
        <f t="shared" ca="1" si="17"/>
        <v>46295</v>
      </c>
      <c r="Y80" s="452" t="str">
        <f t="shared" ca="1" si="14"/>
        <v>Mer. octobre , 2026</v>
      </c>
      <c r="Z80" s="143">
        <f t="shared" ca="1" si="4"/>
        <v>31</v>
      </c>
      <c r="AA80" s="348">
        <f t="shared" ca="1" si="5"/>
        <v>10</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Mer</v>
      </c>
      <c r="U81" s="186" t="str">
        <f t="shared" ca="1" si="13"/>
        <v>octobre</v>
      </c>
      <c r="X81" s="347">
        <f t="shared" ca="1" si="17"/>
        <v>46295</v>
      </c>
      <c r="Y81" s="452" t="str">
        <f t="shared" ca="1" si="14"/>
        <v>Mer. octobre , 2026</v>
      </c>
      <c r="Z81" s="143">
        <f t="shared" ca="1" si="4"/>
        <v>31</v>
      </c>
      <c r="AA81" s="348">
        <f t="shared" ca="1" si="5"/>
        <v>10</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Mer</v>
      </c>
      <c r="U82" s="186" t="str">
        <f t="shared" ca="1" si="13"/>
        <v>octobre</v>
      </c>
      <c r="X82" s="347">
        <f t="shared" ca="1" si="17"/>
        <v>46295</v>
      </c>
      <c r="Y82" s="452" t="str">
        <f t="shared" ca="1" si="14"/>
        <v>Mer. octobre , 2026</v>
      </c>
      <c r="Z82" s="143">
        <f t="shared" ca="1" si="4"/>
        <v>31</v>
      </c>
      <c r="AA82" s="348">
        <f t="shared" ca="1" si="5"/>
        <v>10</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Mer</v>
      </c>
      <c r="U83" s="186" t="str">
        <f t="shared" ca="1" si="13"/>
        <v>octobre</v>
      </c>
      <c r="X83" s="347">
        <f t="shared" ca="1" si="17"/>
        <v>46295</v>
      </c>
      <c r="Y83" s="452" t="str">
        <f t="shared" ca="1" si="14"/>
        <v>Mer. octobre , 2026</v>
      </c>
      <c r="Z83" s="143">
        <f t="shared" ca="1" si="4"/>
        <v>31</v>
      </c>
      <c r="AA83" s="348">
        <f t="shared" ca="1" si="5"/>
        <v>10</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Mer</v>
      </c>
      <c r="U84" s="186" t="str">
        <f t="shared" ca="1" si="13"/>
        <v>octobre</v>
      </c>
      <c r="X84" s="347">
        <f t="shared" ca="1" si="17"/>
        <v>46295</v>
      </c>
      <c r="Y84" s="452" t="str">
        <f t="shared" ca="1" si="14"/>
        <v>Mer. octobre , 2026</v>
      </c>
      <c r="Z84" s="143">
        <f t="shared" ref="Z84:Z147" ca="1" si="24">MIN(R84,$AF$5)</f>
        <v>31</v>
      </c>
      <c r="AA84" s="348">
        <f t="shared" ref="AA84:AA147" ca="1" si="25">$AD$6</f>
        <v>10</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Mer</v>
      </c>
      <c r="U85" s="186" t="str">
        <f t="shared" ref="U85:U148" ca="1" si="32">$U$19</f>
        <v>octobre</v>
      </c>
      <c r="X85" s="347">
        <f t="shared" ca="1" si="17"/>
        <v>46295</v>
      </c>
      <c r="Y85" s="452" t="str">
        <f t="shared" ref="Y85:Y148" ca="1" si="33">IF(Y79="f",T85&amp;". "&amp;" "&amp;R85&amp;" "&amp;U85&amp;" "&amp;$AE$7,T85&amp;". "&amp;U85&amp;" "&amp;R85&amp;", "&amp;$AE$7)</f>
        <v>Mer. octobre , 2026</v>
      </c>
      <c r="Z85" s="143">
        <f t="shared" ca="1" si="24"/>
        <v>31</v>
      </c>
      <c r="AA85" s="348">
        <f t="shared" ca="1" si="25"/>
        <v>10</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Mer</v>
      </c>
      <c r="U86" s="186" t="str">
        <f t="shared" ca="1" si="32"/>
        <v>octobre</v>
      </c>
      <c r="X86" s="347">
        <f t="shared" ref="X86:X149" ca="1" si="36">$AE$8+D86</f>
        <v>46295</v>
      </c>
      <c r="Y86" s="452" t="str">
        <f t="shared" ca="1" si="33"/>
        <v>Mer. octobre , 2026</v>
      </c>
      <c r="Z86" s="143">
        <f t="shared" ca="1" si="24"/>
        <v>31</v>
      </c>
      <c r="AA86" s="348">
        <f t="shared" ca="1" si="25"/>
        <v>10</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Mer</v>
      </c>
      <c r="U87" s="186" t="str">
        <f t="shared" ca="1" si="32"/>
        <v>octobre</v>
      </c>
      <c r="X87" s="347">
        <f t="shared" ca="1" si="36"/>
        <v>46295</v>
      </c>
      <c r="Y87" s="452" t="str">
        <f t="shared" ca="1" si="33"/>
        <v>Mer. octobre , 2026</v>
      </c>
      <c r="Z87" s="143">
        <f t="shared" ca="1" si="24"/>
        <v>31</v>
      </c>
      <c r="AA87" s="348">
        <f t="shared" ca="1" si="25"/>
        <v>10</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Mer</v>
      </c>
      <c r="U88" s="186" t="str">
        <f t="shared" ca="1" si="32"/>
        <v>octobre</v>
      </c>
      <c r="X88" s="347">
        <f t="shared" ca="1" si="36"/>
        <v>46295</v>
      </c>
      <c r="Y88" s="452" t="str">
        <f t="shared" ca="1" si="33"/>
        <v>Mer. octobre , 2026</v>
      </c>
      <c r="Z88" s="143">
        <f t="shared" ca="1" si="24"/>
        <v>31</v>
      </c>
      <c r="AA88" s="348">
        <f t="shared" ca="1" si="25"/>
        <v>10</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Mer</v>
      </c>
      <c r="U89" s="186" t="str">
        <f t="shared" ca="1" si="32"/>
        <v>octobre</v>
      </c>
      <c r="X89" s="347">
        <f t="shared" ca="1" si="36"/>
        <v>46295</v>
      </c>
      <c r="Y89" s="452" t="str">
        <f t="shared" ca="1" si="33"/>
        <v>Mer. octobre , 2026</v>
      </c>
      <c r="Z89" s="143">
        <f t="shared" ca="1" si="24"/>
        <v>31</v>
      </c>
      <c r="AA89" s="348">
        <f t="shared" ca="1" si="25"/>
        <v>10</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Mer</v>
      </c>
      <c r="U90" s="186" t="str">
        <f t="shared" ca="1" si="32"/>
        <v>octobre</v>
      </c>
      <c r="X90" s="347">
        <f t="shared" ca="1" si="36"/>
        <v>46295</v>
      </c>
      <c r="Y90" s="452" t="str">
        <f t="shared" ca="1" si="33"/>
        <v>Mer. octobre , 2026</v>
      </c>
      <c r="Z90" s="143">
        <f t="shared" ca="1" si="24"/>
        <v>31</v>
      </c>
      <c r="AA90" s="348">
        <f t="shared" ca="1" si="25"/>
        <v>10</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Mer</v>
      </c>
      <c r="U91" s="186" t="str">
        <f t="shared" ca="1" si="32"/>
        <v>octobre</v>
      </c>
      <c r="X91" s="347">
        <f t="shared" ca="1" si="36"/>
        <v>46295</v>
      </c>
      <c r="Y91" s="452" t="str">
        <f t="shared" ca="1" si="33"/>
        <v>Mer. octobre , 2026</v>
      </c>
      <c r="Z91" s="143">
        <f t="shared" ca="1" si="24"/>
        <v>31</v>
      </c>
      <c r="AA91" s="348">
        <f t="shared" ca="1" si="25"/>
        <v>10</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Mer</v>
      </c>
      <c r="U92" s="186" t="str">
        <f t="shared" ca="1" si="32"/>
        <v>octobre</v>
      </c>
      <c r="X92" s="347">
        <f t="shared" ca="1" si="36"/>
        <v>46295</v>
      </c>
      <c r="Y92" s="452" t="str">
        <f t="shared" ca="1" si="33"/>
        <v>Mer. octobre , 2026</v>
      </c>
      <c r="Z92" s="143">
        <f t="shared" ca="1" si="24"/>
        <v>31</v>
      </c>
      <c r="AA92" s="348">
        <f t="shared" ca="1" si="25"/>
        <v>10</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Mer</v>
      </c>
      <c r="U93" s="186" t="str">
        <f t="shared" ca="1" si="32"/>
        <v>octobre</v>
      </c>
      <c r="X93" s="347">
        <f t="shared" ca="1" si="36"/>
        <v>46295</v>
      </c>
      <c r="Y93" s="452" t="str">
        <f t="shared" ca="1" si="33"/>
        <v>Mer. octobre , 2026</v>
      </c>
      <c r="Z93" s="143">
        <f t="shared" ca="1" si="24"/>
        <v>31</v>
      </c>
      <c r="AA93" s="348">
        <f t="shared" ca="1" si="25"/>
        <v>10</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Mer</v>
      </c>
      <c r="U94" s="186" t="str">
        <f t="shared" ca="1" si="32"/>
        <v>octobre</v>
      </c>
      <c r="X94" s="347">
        <f t="shared" ca="1" si="36"/>
        <v>46295</v>
      </c>
      <c r="Y94" s="452" t="str">
        <f t="shared" ca="1" si="33"/>
        <v>Mer. octobre , 2026</v>
      </c>
      <c r="Z94" s="143">
        <f t="shared" ca="1" si="24"/>
        <v>31</v>
      </c>
      <c r="AA94" s="348">
        <f t="shared" ca="1" si="25"/>
        <v>10</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Mer</v>
      </c>
      <c r="U95" s="186" t="str">
        <f t="shared" ca="1" si="32"/>
        <v>octobre</v>
      </c>
      <c r="X95" s="347">
        <f t="shared" ca="1" si="36"/>
        <v>46295</v>
      </c>
      <c r="Y95" s="452" t="str">
        <f t="shared" ca="1" si="33"/>
        <v>Mer. octobre , 2026</v>
      </c>
      <c r="Z95" s="143">
        <f t="shared" ca="1" si="24"/>
        <v>31</v>
      </c>
      <c r="AA95" s="348">
        <f t="shared" ca="1" si="25"/>
        <v>10</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Mer</v>
      </c>
      <c r="U96" s="186" t="str">
        <f t="shared" ca="1" si="32"/>
        <v>octobre</v>
      </c>
      <c r="X96" s="347">
        <f t="shared" ca="1" si="36"/>
        <v>46295</v>
      </c>
      <c r="Y96" s="452" t="str">
        <f t="shared" ca="1" si="33"/>
        <v>Mer. octobre , 2026</v>
      </c>
      <c r="Z96" s="143">
        <f t="shared" ca="1" si="24"/>
        <v>31</v>
      </c>
      <c r="AA96" s="348">
        <f t="shared" ca="1" si="25"/>
        <v>10</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Mer</v>
      </c>
      <c r="U97" s="186" t="str">
        <f t="shared" ca="1" si="32"/>
        <v>octobre</v>
      </c>
      <c r="X97" s="347">
        <f t="shared" ca="1" si="36"/>
        <v>46295</v>
      </c>
      <c r="Y97" s="452" t="str">
        <f t="shared" ca="1" si="33"/>
        <v>Mer. octobre , 2026</v>
      </c>
      <c r="Z97" s="143">
        <f t="shared" ca="1" si="24"/>
        <v>31</v>
      </c>
      <c r="AA97" s="348">
        <f t="shared" ca="1" si="25"/>
        <v>10</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Mer</v>
      </c>
      <c r="U98" s="186" t="str">
        <f t="shared" ca="1" si="32"/>
        <v>octobre</v>
      </c>
      <c r="X98" s="347">
        <f t="shared" ca="1" si="36"/>
        <v>46295</v>
      </c>
      <c r="Y98" s="452" t="str">
        <f t="shared" ca="1" si="33"/>
        <v>Mer. octobre , 2026</v>
      </c>
      <c r="Z98" s="143">
        <f t="shared" ca="1" si="24"/>
        <v>31</v>
      </c>
      <c r="AA98" s="348">
        <f t="shared" ca="1" si="25"/>
        <v>10</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Mer</v>
      </c>
      <c r="U99" s="186" t="str">
        <f t="shared" ca="1" si="32"/>
        <v>octobre</v>
      </c>
      <c r="X99" s="347">
        <f t="shared" ca="1" si="36"/>
        <v>46295</v>
      </c>
      <c r="Y99" s="452" t="str">
        <f t="shared" ca="1" si="33"/>
        <v>Mer. octobre , 2026</v>
      </c>
      <c r="Z99" s="143">
        <f t="shared" ca="1" si="24"/>
        <v>31</v>
      </c>
      <c r="AA99" s="348">
        <f t="shared" ca="1" si="25"/>
        <v>10</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Mer</v>
      </c>
      <c r="U100" s="186" t="str">
        <f t="shared" ca="1" si="32"/>
        <v>octobre</v>
      </c>
      <c r="X100" s="347">
        <f t="shared" ca="1" si="36"/>
        <v>46295</v>
      </c>
      <c r="Y100" s="452" t="str">
        <f t="shared" ca="1" si="33"/>
        <v>Mer. octobre , 2026</v>
      </c>
      <c r="Z100" s="143">
        <f t="shared" ca="1" si="24"/>
        <v>31</v>
      </c>
      <c r="AA100" s="348">
        <f t="shared" ca="1" si="25"/>
        <v>10</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Mer</v>
      </c>
      <c r="U101" s="186" t="str">
        <f t="shared" ca="1" si="32"/>
        <v>octobre</v>
      </c>
      <c r="X101" s="347">
        <f t="shared" ca="1" si="36"/>
        <v>46295</v>
      </c>
      <c r="Y101" s="452" t="str">
        <f t="shared" ca="1" si="33"/>
        <v>Mer. octobre , 2026</v>
      </c>
      <c r="Z101" s="143">
        <f t="shared" ca="1" si="24"/>
        <v>31</v>
      </c>
      <c r="AA101" s="348">
        <f t="shared" ca="1" si="25"/>
        <v>10</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Mer</v>
      </c>
      <c r="U102" s="186" t="str">
        <f t="shared" ca="1" si="32"/>
        <v>octobre</v>
      </c>
      <c r="X102" s="347">
        <f t="shared" ca="1" si="36"/>
        <v>46295</v>
      </c>
      <c r="Y102" s="452" t="str">
        <f t="shared" ca="1" si="33"/>
        <v>Mer. octobre , 2026</v>
      </c>
      <c r="Z102" s="143">
        <f t="shared" ca="1" si="24"/>
        <v>31</v>
      </c>
      <c r="AA102" s="348">
        <f t="shared" ca="1" si="25"/>
        <v>10</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Mer</v>
      </c>
      <c r="U103" s="186" t="str">
        <f t="shared" ca="1" si="32"/>
        <v>octobre</v>
      </c>
      <c r="X103" s="347">
        <f t="shared" ca="1" si="36"/>
        <v>46295</v>
      </c>
      <c r="Y103" s="452" t="str">
        <f t="shared" ca="1" si="33"/>
        <v>Mer. octobre , 2026</v>
      </c>
      <c r="Z103" s="143">
        <f t="shared" ca="1" si="24"/>
        <v>31</v>
      </c>
      <c r="AA103" s="348">
        <f t="shared" ca="1" si="25"/>
        <v>10</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Mer</v>
      </c>
      <c r="U104" s="186" t="str">
        <f t="shared" ca="1" si="32"/>
        <v>octobre</v>
      </c>
      <c r="X104" s="347">
        <f t="shared" ca="1" si="36"/>
        <v>46295</v>
      </c>
      <c r="Y104" s="452" t="str">
        <f t="shared" ca="1" si="33"/>
        <v>Mer. octobre , 2026</v>
      </c>
      <c r="Z104" s="143">
        <f t="shared" ca="1" si="24"/>
        <v>31</v>
      </c>
      <c r="AA104" s="348">
        <f t="shared" ca="1" si="25"/>
        <v>10</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Mer</v>
      </c>
      <c r="U105" s="186" t="str">
        <f t="shared" ca="1" si="32"/>
        <v>octobre</v>
      </c>
      <c r="X105" s="347">
        <f t="shared" ca="1" si="36"/>
        <v>46295</v>
      </c>
      <c r="Y105" s="452" t="str">
        <f t="shared" ca="1" si="33"/>
        <v>Mer. octobre , 2026</v>
      </c>
      <c r="Z105" s="143">
        <f t="shared" ca="1" si="24"/>
        <v>31</v>
      </c>
      <c r="AA105" s="348">
        <f t="shared" ca="1" si="25"/>
        <v>10</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Mer</v>
      </c>
      <c r="U106" s="186" t="str">
        <f t="shared" ca="1" si="32"/>
        <v>octobre</v>
      </c>
      <c r="X106" s="347">
        <f t="shared" ca="1" si="36"/>
        <v>46295</v>
      </c>
      <c r="Y106" s="452" t="str">
        <f t="shared" ca="1" si="33"/>
        <v>Mer. octobre , 2026</v>
      </c>
      <c r="Z106" s="143">
        <f t="shared" ca="1" si="24"/>
        <v>31</v>
      </c>
      <c r="AA106" s="348">
        <f t="shared" ca="1" si="25"/>
        <v>10</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Mer</v>
      </c>
      <c r="U107" s="186" t="str">
        <f t="shared" ca="1" si="32"/>
        <v>octobre</v>
      </c>
      <c r="X107" s="347">
        <f t="shared" ca="1" si="36"/>
        <v>46295</v>
      </c>
      <c r="Y107" s="452" t="str">
        <f t="shared" ca="1" si="33"/>
        <v>Mer. octobre , 2026</v>
      </c>
      <c r="Z107" s="143">
        <f t="shared" ca="1" si="24"/>
        <v>31</v>
      </c>
      <c r="AA107" s="348">
        <f t="shared" ca="1" si="25"/>
        <v>10</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Mer</v>
      </c>
      <c r="U108" s="186" t="str">
        <f t="shared" ca="1" si="32"/>
        <v>octobre</v>
      </c>
      <c r="X108" s="347">
        <f t="shared" ca="1" si="36"/>
        <v>46295</v>
      </c>
      <c r="Y108" s="452" t="str">
        <f t="shared" ca="1" si="33"/>
        <v>Mer. octobre , 2026</v>
      </c>
      <c r="Z108" s="143">
        <f t="shared" ca="1" si="24"/>
        <v>31</v>
      </c>
      <c r="AA108" s="348">
        <f t="shared" ca="1" si="25"/>
        <v>10</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Mer</v>
      </c>
      <c r="U109" s="186" t="str">
        <f t="shared" ca="1" si="32"/>
        <v>octobre</v>
      </c>
      <c r="X109" s="347">
        <f t="shared" ca="1" si="36"/>
        <v>46295</v>
      </c>
      <c r="Y109" s="452" t="str">
        <f t="shared" ca="1" si="33"/>
        <v>Mer. octobre , 2026</v>
      </c>
      <c r="Z109" s="143">
        <f t="shared" ca="1" si="24"/>
        <v>31</v>
      </c>
      <c r="AA109" s="348">
        <f t="shared" ca="1" si="25"/>
        <v>10</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Mer</v>
      </c>
      <c r="U110" s="186" t="str">
        <f t="shared" ca="1" si="32"/>
        <v>octobre</v>
      </c>
      <c r="X110" s="347">
        <f t="shared" ca="1" si="36"/>
        <v>46295</v>
      </c>
      <c r="Y110" s="452" t="str">
        <f t="shared" ca="1" si="33"/>
        <v>Mer. octobre , 2026</v>
      </c>
      <c r="Z110" s="143">
        <f t="shared" ca="1" si="24"/>
        <v>31</v>
      </c>
      <c r="AA110" s="348">
        <f t="shared" ca="1" si="25"/>
        <v>10</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Mer</v>
      </c>
      <c r="U111" s="186" t="str">
        <f t="shared" ca="1" si="32"/>
        <v>octobre</v>
      </c>
      <c r="X111" s="347">
        <f t="shared" ca="1" si="36"/>
        <v>46295</v>
      </c>
      <c r="Y111" s="452" t="str">
        <f t="shared" ca="1" si="33"/>
        <v>Mer. octobre , 2026</v>
      </c>
      <c r="Z111" s="143">
        <f t="shared" ca="1" si="24"/>
        <v>31</v>
      </c>
      <c r="AA111" s="348">
        <f t="shared" ca="1" si="25"/>
        <v>10</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Mer</v>
      </c>
      <c r="U112" s="186" t="str">
        <f t="shared" ca="1" si="32"/>
        <v>octobre</v>
      </c>
      <c r="X112" s="347">
        <f t="shared" ca="1" si="36"/>
        <v>46295</v>
      </c>
      <c r="Y112" s="452" t="str">
        <f t="shared" ca="1" si="33"/>
        <v>Mer. octobre , 2026</v>
      </c>
      <c r="Z112" s="143">
        <f t="shared" ca="1" si="24"/>
        <v>31</v>
      </c>
      <c r="AA112" s="348">
        <f t="shared" ca="1" si="25"/>
        <v>10</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Mer</v>
      </c>
      <c r="U113" s="186" t="str">
        <f t="shared" ca="1" si="32"/>
        <v>octobre</v>
      </c>
      <c r="X113" s="347">
        <f t="shared" ca="1" si="36"/>
        <v>46295</v>
      </c>
      <c r="Y113" s="452" t="str">
        <f t="shared" ca="1" si="33"/>
        <v>Mer. octobre , 2026</v>
      </c>
      <c r="Z113" s="143">
        <f t="shared" ca="1" si="24"/>
        <v>31</v>
      </c>
      <c r="AA113" s="348">
        <f t="shared" ca="1" si="25"/>
        <v>10</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Mer</v>
      </c>
      <c r="U114" s="186" t="str">
        <f t="shared" ca="1" si="32"/>
        <v>octobre</v>
      </c>
      <c r="X114" s="347">
        <f t="shared" ca="1" si="36"/>
        <v>46295</v>
      </c>
      <c r="Y114" s="452" t="str">
        <f t="shared" ca="1" si="33"/>
        <v>Mer. octobre , 2026</v>
      </c>
      <c r="Z114" s="143">
        <f t="shared" ca="1" si="24"/>
        <v>31</v>
      </c>
      <c r="AA114" s="348">
        <f t="shared" ca="1" si="25"/>
        <v>10</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Mer</v>
      </c>
      <c r="U115" s="186" t="str">
        <f t="shared" ca="1" si="32"/>
        <v>octobre</v>
      </c>
      <c r="X115" s="347">
        <f t="shared" ca="1" si="36"/>
        <v>46295</v>
      </c>
      <c r="Y115" s="452" t="str">
        <f t="shared" ca="1" si="33"/>
        <v>Mer. octobre , 2026</v>
      </c>
      <c r="Z115" s="143">
        <f t="shared" ca="1" si="24"/>
        <v>31</v>
      </c>
      <c r="AA115" s="348">
        <f t="shared" ca="1" si="25"/>
        <v>10</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Mer</v>
      </c>
      <c r="U116" s="186" t="str">
        <f t="shared" ca="1" si="32"/>
        <v>octobre</v>
      </c>
      <c r="X116" s="347">
        <f t="shared" ca="1" si="36"/>
        <v>46295</v>
      </c>
      <c r="Y116" s="452" t="str">
        <f t="shared" ca="1" si="33"/>
        <v>Mer. octobre , 2026</v>
      </c>
      <c r="Z116" s="143">
        <f t="shared" ca="1" si="24"/>
        <v>31</v>
      </c>
      <c r="AA116" s="348">
        <f t="shared" ca="1" si="25"/>
        <v>10</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Mer</v>
      </c>
      <c r="U117" s="186" t="str">
        <f t="shared" ca="1" si="32"/>
        <v>octobre</v>
      </c>
      <c r="X117" s="347">
        <f t="shared" ca="1" si="36"/>
        <v>46295</v>
      </c>
      <c r="Y117" s="452" t="str">
        <f t="shared" ca="1" si="33"/>
        <v>Mer. octobre , 2026</v>
      </c>
      <c r="Z117" s="143">
        <f t="shared" ca="1" si="24"/>
        <v>31</v>
      </c>
      <c r="AA117" s="348">
        <f t="shared" ca="1" si="25"/>
        <v>10</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Mer</v>
      </c>
      <c r="U118" s="186" t="str">
        <f t="shared" ca="1" si="32"/>
        <v>octobre</v>
      </c>
      <c r="X118" s="347">
        <f t="shared" ca="1" si="36"/>
        <v>46295</v>
      </c>
      <c r="Y118" s="452" t="str">
        <f t="shared" ca="1" si="33"/>
        <v>Mer. octobre , 2026</v>
      </c>
      <c r="Z118" s="143">
        <f t="shared" ca="1" si="24"/>
        <v>31</v>
      </c>
      <c r="AA118" s="348">
        <f t="shared" ca="1" si="25"/>
        <v>10</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Mer</v>
      </c>
      <c r="U119" s="186" t="str">
        <f t="shared" ca="1" si="32"/>
        <v>octobre</v>
      </c>
      <c r="X119" s="347">
        <f t="shared" ca="1" si="36"/>
        <v>46295</v>
      </c>
      <c r="Y119" s="452" t="str">
        <f t="shared" ca="1" si="33"/>
        <v>Mer. octobre , 2026</v>
      </c>
      <c r="Z119" s="143">
        <f t="shared" ca="1" si="24"/>
        <v>31</v>
      </c>
      <c r="AA119" s="348">
        <f t="shared" ca="1" si="25"/>
        <v>10</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Mer</v>
      </c>
      <c r="U120" s="186" t="str">
        <f t="shared" ca="1" si="32"/>
        <v>octobre</v>
      </c>
      <c r="X120" s="347">
        <f t="shared" ca="1" si="36"/>
        <v>46295</v>
      </c>
      <c r="Y120" s="452" t="str">
        <f t="shared" ca="1" si="33"/>
        <v>Mer. octobre , 2026</v>
      </c>
      <c r="Z120" s="143">
        <f t="shared" ca="1" si="24"/>
        <v>31</v>
      </c>
      <c r="AA120" s="348">
        <f t="shared" ca="1" si="25"/>
        <v>10</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Mer</v>
      </c>
      <c r="U121" s="186" t="str">
        <f t="shared" ca="1" si="32"/>
        <v>octobre</v>
      </c>
      <c r="X121" s="347">
        <f t="shared" ca="1" si="36"/>
        <v>46295</v>
      </c>
      <c r="Y121" s="452" t="str">
        <f t="shared" ca="1" si="33"/>
        <v>Mer. octobre , 2026</v>
      </c>
      <c r="Z121" s="143">
        <f t="shared" ca="1" si="24"/>
        <v>31</v>
      </c>
      <c r="AA121" s="348">
        <f t="shared" ca="1" si="25"/>
        <v>10</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Mer</v>
      </c>
      <c r="U122" s="186" t="str">
        <f t="shared" ca="1" si="32"/>
        <v>octobre</v>
      </c>
      <c r="X122" s="347">
        <f t="shared" ca="1" si="36"/>
        <v>46295</v>
      </c>
      <c r="Y122" s="452" t="str">
        <f t="shared" ca="1" si="33"/>
        <v>Mer. octobre , 2026</v>
      </c>
      <c r="Z122" s="143">
        <f t="shared" ca="1" si="24"/>
        <v>31</v>
      </c>
      <c r="AA122" s="348">
        <f t="shared" ca="1" si="25"/>
        <v>10</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Mer</v>
      </c>
      <c r="U123" s="186" t="str">
        <f t="shared" ca="1" si="32"/>
        <v>octobre</v>
      </c>
      <c r="X123" s="347">
        <f t="shared" ca="1" si="36"/>
        <v>46295</v>
      </c>
      <c r="Y123" s="452" t="str">
        <f t="shared" ca="1" si="33"/>
        <v>Mer. octobre , 2026</v>
      </c>
      <c r="Z123" s="143">
        <f t="shared" ca="1" si="24"/>
        <v>31</v>
      </c>
      <c r="AA123" s="348">
        <f t="shared" ca="1" si="25"/>
        <v>10</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Mer</v>
      </c>
      <c r="U124" s="186" t="str">
        <f t="shared" ca="1" si="32"/>
        <v>octobre</v>
      </c>
      <c r="X124" s="347">
        <f t="shared" ca="1" si="36"/>
        <v>46295</v>
      </c>
      <c r="Y124" s="452" t="str">
        <f t="shared" ca="1" si="33"/>
        <v>Mer. octobre , 2026</v>
      </c>
      <c r="Z124" s="143">
        <f t="shared" ca="1" si="24"/>
        <v>31</v>
      </c>
      <c r="AA124" s="348">
        <f t="shared" ca="1" si="25"/>
        <v>10</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Mer</v>
      </c>
      <c r="U125" s="186" t="str">
        <f t="shared" ca="1" si="32"/>
        <v>octobre</v>
      </c>
      <c r="X125" s="347">
        <f t="shared" ca="1" si="36"/>
        <v>46295</v>
      </c>
      <c r="Y125" s="452" t="str">
        <f t="shared" ca="1" si="33"/>
        <v>Mer. octobre , 2026</v>
      </c>
      <c r="Z125" s="143">
        <f t="shared" ca="1" si="24"/>
        <v>31</v>
      </c>
      <c r="AA125" s="348">
        <f t="shared" ca="1" si="25"/>
        <v>10</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Mer</v>
      </c>
      <c r="U126" s="186" t="str">
        <f t="shared" ca="1" si="32"/>
        <v>octobre</v>
      </c>
      <c r="X126" s="347">
        <f t="shared" ca="1" si="36"/>
        <v>46295</v>
      </c>
      <c r="Y126" s="452" t="str">
        <f t="shared" ca="1" si="33"/>
        <v>Mer. octobre , 2026</v>
      </c>
      <c r="Z126" s="143">
        <f t="shared" ca="1" si="24"/>
        <v>31</v>
      </c>
      <c r="AA126" s="348">
        <f t="shared" ca="1" si="25"/>
        <v>10</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Mer</v>
      </c>
      <c r="U127" s="186" t="str">
        <f t="shared" ca="1" si="32"/>
        <v>octobre</v>
      </c>
      <c r="X127" s="347">
        <f t="shared" ca="1" si="36"/>
        <v>46295</v>
      </c>
      <c r="Y127" s="452" t="str">
        <f t="shared" ca="1" si="33"/>
        <v>Mer. octobre , 2026</v>
      </c>
      <c r="Z127" s="143">
        <f t="shared" ca="1" si="24"/>
        <v>31</v>
      </c>
      <c r="AA127" s="348">
        <f t="shared" ca="1" si="25"/>
        <v>10</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Mer</v>
      </c>
      <c r="U128" s="186" t="str">
        <f t="shared" ca="1" si="32"/>
        <v>octobre</v>
      </c>
      <c r="X128" s="347">
        <f t="shared" ca="1" si="36"/>
        <v>46295</v>
      </c>
      <c r="Y128" s="452" t="str">
        <f t="shared" ca="1" si="33"/>
        <v>Mer. octobre , 2026</v>
      </c>
      <c r="Z128" s="143">
        <f t="shared" ca="1" si="24"/>
        <v>31</v>
      </c>
      <c r="AA128" s="348">
        <f t="shared" ca="1" si="25"/>
        <v>10</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Mer</v>
      </c>
      <c r="U129" s="186" t="str">
        <f t="shared" ca="1" si="32"/>
        <v>octobre</v>
      </c>
      <c r="X129" s="347">
        <f t="shared" ca="1" si="36"/>
        <v>46295</v>
      </c>
      <c r="Y129" s="452" t="str">
        <f t="shared" ca="1" si="33"/>
        <v>Mer. octobre , 2026</v>
      </c>
      <c r="Z129" s="143">
        <f t="shared" ca="1" si="24"/>
        <v>31</v>
      </c>
      <c r="AA129" s="348">
        <f t="shared" ca="1" si="25"/>
        <v>10</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Mer</v>
      </c>
      <c r="U130" s="186" t="str">
        <f t="shared" ca="1" si="32"/>
        <v>octobre</v>
      </c>
      <c r="X130" s="347">
        <f t="shared" ca="1" si="36"/>
        <v>46295</v>
      </c>
      <c r="Y130" s="452" t="str">
        <f t="shared" ca="1" si="33"/>
        <v>Mer. octobre , 2026</v>
      </c>
      <c r="Z130" s="143">
        <f t="shared" ca="1" si="24"/>
        <v>31</v>
      </c>
      <c r="AA130" s="348">
        <f t="shared" ca="1" si="25"/>
        <v>10</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Mer</v>
      </c>
      <c r="U131" s="186" t="str">
        <f t="shared" ca="1" si="32"/>
        <v>octobre</v>
      </c>
      <c r="X131" s="347">
        <f t="shared" ca="1" si="36"/>
        <v>46295</v>
      </c>
      <c r="Y131" s="452" t="str">
        <f t="shared" ca="1" si="33"/>
        <v>Mer. octobre , 2026</v>
      </c>
      <c r="Z131" s="143">
        <f t="shared" ca="1" si="24"/>
        <v>31</v>
      </c>
      <c r="AA131" s="348">
        <f t="shared" ca="1" si="25"/>
        <v>10</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Mer</v>
      </c>
      <c r="U132" s="186" t="str">
        <f t="shared" ca="1" si="32"/>
        <v>octobre</v>
      </c>
      <c r="X132" s="347">
        <f t="shared" ca="1" si="36"/>
        <v>46295</v>
      </c>
      <c r="Y132" s="452" t="str">
        <f t="shared" ca="1" si="33"/>
        <v>Mer. octobre , 2026</v>
      </c>
      <c r="Z132" s="143">
        <f t="shared" ca="1" si="24"/>
        <v>31</v>
      </c>
      <c r="AA132" s="348">
        <f t="shared" ca="1" si="25"/>
        <v>10</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Mer</v>
      </c>
      <c r="U133" s="186" t="str">
        <f t="shared" ca="1" si="32"/>
        <v>octobre</v>
      </c>
      <c r="X133" s="347">
        <f t="shared" ca="1" si="36"/>
        <v>46295</v>
      </c>
      <c r="Y133" s="452" t="str">
        <f t="shared" ca="1" si="33"/>
        <v>Mer. octobre , 2026</v>
      </c>
      <c r="Z133" s="143">
        <f t="shared" ca="1" si="24"/>
        <v>31</v>
      </c>
      <c r="AA133" s="348">
        <f t="shared" ca="1" si="25"/>
        <v>10</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Mer</v>
      </c>
      <c r="U134" s="186" t="str">
        <f t="shared" ca="1" si="32"/>
        <v>octobre</v>
      </c>
      <c r="X134" s="347">
        <f t="shared" ca="1" si="36"/>
        <v>46295</v>
      </c>
      <c r="Y134" s="452" t="str">
        <f t="shared" ca="1" si="33"/>
        <v>Mer. octobre , 2026</v>
      </c>
      <c r="Z134" s="143">
        <f t="shared" ca="1" si="24"/>
        <v>31</v>
      </c>
      <c r="AA134" s="348">
        <f t="shared" ca="1" si="25"/>
        <v>10</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Mer</v>
      </c>
      <c r="U135" s="186" t="str">
        <f t="shared" ca="1" si="32"/>
        <v>octobre</v>
      </c>
      <c r="X135" s="347">
        <f t="shared" ca="1" si="36"/>
        <v>46295</v>
      </c>
      <c r="Y135" s="452" t="str">
        <f t="shared" ca="1" si="33"/>
        <v>Mer. octobre , 2026</v>
      </c>
      <c r="Z135" s="143">
        <f t="shared" ca="1" si="24"/>
        <v>31</v>
      </c>
      <c r="AA135" s="348">
        <f t="shared" ca="1" si="25"/>
        <v>10</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Mer</v>
      </c>
      <c r="U136" s="186" t="str">
        <f t="shared" ca="1" si="32"/>
        <v>octobre</v>
      </c>
      <c r="X136" s="347">
        <f t="shared" ca="1" si="36"/>
        <v>46295</v>
      </c>
      <c r="Y136" s="452" t="str">
        <f t="shared" ca="1" si="33"/>
        <v>Mer. octobre , 2026</v>
      </c>
      <c r="Z136" s="143">
        <f t="shared" ca="1" si="24"/>
        <v>31</v>
      </c>
      <c r="AA136" s="348">
        <f t="shared" ca="1" si="25"/>
        <v>10</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Mer</v>
      </c>
      <c r="U137" s="186" t="str">
        <f t="shared" ca="1" si="32"/>
        <v>octobre</v>
      </c>
      <c r="X137" s="347">
        <f t="shared" ca="1" si="36"/>
        <v>46295</v>
      </c>
      <c r="Y137" s="452" t="str">
        <f t="shared" ca="1" si="33"/>
        <v>Mer. octobre , 2026</v>
      </c>
      <c r="Z137" s="143">
        <f t="shared" ca="1" si="24"/>
        <v>31</v>
      </c>
      <c r="AA137" s="348">
        <f t="shared" ca="1" si="25"/>
        <v>10</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Mer</v>
      </c>
      <c r="U138" s="186" t="str">
        <f t="shared" ca="1" si="32"/>
        <v>octobre</v>
      </c>
      <c r="X138" s="347">
        <f t="shared" ca="1" si="36"/>
        <v>46295</v>
      </c>
      <c r="Y138" s="452" t="str">
        <f t="shared" ca="1" si="33"/>
        <v>Mer. octobre , 2026</v>
      </c>
      <c r="Z138" s="143">
        <f t="shared" ca="1" si="24"/>
        <v>31</v>
      </c>
      <c r="AA138" s="348">
        <f t="shared" ca="1" si="25"/>
        <v>10</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Mer</v>
      </c>
      <c r="U139" s="186" t="str">
        <f t="shared" ca="1" si="32"/>
        <v>octobre</v>
      </c>
      <c r="X139" s="347">
        <f t="shared" ca="1" si="36"/>
        <v>46295</v>
      </c>
      <c r="Y139" s="452" t="str">
        <f t="shared" ca="1" si="33"/>
        <v>Mer. octobre , 2026</v>
      </c>
      <c r="Z139" s="143">
        <f t="shared" ca="1" si="24"/>
        <v>31</v>
      </c>
      <c r="AA139" s="348">
        <f t="shared" ca="1" si="25"/>
        <v>10</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Mer</v>
      </c>
      <c r="U140" s="186" t="str">
        <f t="shared" ca="1" si="32"/>
        <v>octobre</v>
      </c>
      <c r="X140" s="347">
        <f t="shared" ca="1" si="36"/>
        <v>46295</v>
      </c>
      <c r="Y140" s="452" t="str">
        <f t="shared" ca="1" si="33"/>
        <v>Mer. octobre , 2026</v>
      </c>
      <c r="Z140" s="143">
        <f t="shared" ca="1" si="24"/>
        <v>31</v>
      </c>
      <c r="AA140" s="348">
        <f t="shared" ca="1" si="25"/>
        <v>10</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Mer</v>
      </c>
      <c r="U141" s="186" t="str">
        <f t="shared" ca="1" si="32"/>
        <v>octobre</v>
      </c>
      <c r="X141" s="347">
        <f t="shared" ca="1" si="36"/>
        <v>46295</v>
      </c>
      <c r="Y141" s="452" t="str">
        <f t="shared" ca="1" si="33"/>
        <v>Mer. octobre , 2026</v>
      </c>
      <c r="Z141" s="143">
        <f t="shared" ca="1" si="24"/>
        <v>31</v>
      </c>
      <c r="AA141" s="348">
        <f t="shared" ca="1" si="25"/>
        <v>10</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Mer</v>
      </c>
      <c r="U142" s="186" t="str">
        <f t="shared" ca="1" si="32"/>
        <v>octobre</v>
      </c>
      <c r="X142" s="347">
        <f t="shared" ca="1" si="36"/>
        <v>46295</v>
      </c>
      <c r="Y142" s="452" t="str">
        <f t="shared" ca="1" si="33"/>
        <v>Mer. octobre , 2026</v>
      </c>
      <c r="Z142" s="143">
        <f t="shared" ca="1" si="24"/>
        <v>31</v>
      </c>
      <c r="AA142" s="348">
        <f t="shared" ca="1" si="25"/>
        <v>10</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Mer</v>
      </c>
      <c r="U143" s="186" t="str">
        <f t="shared" ca="1" si="32"/>
        <v>octobre</v>
      </c>
      <c r="X143" s="347">
        <f t="shared" ca="1" si="36"/>
        <v>46295</v>
      </c>
      <c r="Y143" s="452" t="str">
        <f t="shared" ca="1" si="33"/>
        <v>Mer. octobre , 2026</v>
      </c>
      <c r="Z143" s="143">
        <f t="shared" ca="1" si="24"/>
        <v>31</v>
      </c>
      <c r="AA143" s="348">
        <f t="shared" ca="1" si="25"/>
        <v>10</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Mer</v>
      </c>
      <c r="U144" s="186" t="str">
        <f t="shared" ca="1" si="32"/>
        <v>octobre</v>
      </c>
      <c r="X144" s="347">
        <f t="shared" ca="1" si="36"/>
        <v>46295</v>
      </c>
      <c r="Y144" s="452" t="str">
        <f t="shared" ca="1" si="33"/>
        <v>Mer. octobre , 2026</v>
      </c>
      <c r="Z144" s="143">
        <f t="shared" ca="1" si="24"/>
        <v>31</v>
      </c>
      <c r="AA144" s="348">
        <f t="shared" ca="1" si="25"/>
        <v>10</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Mer</v>
      </c>
      <c r="U145" s="186" t="str">
        <f t="shared" ca="1" si="32"/>
        <v>octobre</v>
      </c>
      <c r="X145" s="347">
        <f t="shared" ca="1" si="36"/>
        <v>46295</v>
      </c>
      <c r="Y145" s="452" t="str">
        <f t="shared" ca="1" si="33"/>
        <v>Mer. octobre , 2026</v>
      </c>
      <c r="Z145" s="143">
        <f t="shared" ca="1" si="24"/>
        <v>31</v>
      </c>
      <c r="AA145" s="348">
        <f t="shared" ca="1" si="25"/>
        <v>10</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Mer</v>
      </c>
      <c r="U146" s="186" t="str">
        <f t="shared" ca="1" si="32"/>
        <v>octobre</v>
      </c>
      <c r="X146" s="347">
        <f t="shared" ca="1" si="36"/>
        <v>46295</v>
      </c>
      <c r="Y146" s="452" t="str">
        <f t="shared" ca="1" si="33"/>
        <v>Mer. octobre , 2026</v>
      </c>
      <c r="Z146" s="143">
        <f t="shared" ca="1" si="24"/>
        <v>31</v>
      </c>
      <c r="AA146" s="348">
        <f t="shared" ca="1" si="25"/>
        <v>10</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Mer</v>
      </c>
      <c r="U147" s="186" t="str">
        <f t="shared" ca="1" si="32"/>
        <v>octobre</v>
      </c>
      <c r="X147" s="347">
        <f t="shared" ca="1" si="36"/>
        <v>46295</v>
      </c>
      <c r="Y147" s="452" t="str">
        <f t="shared" ca="1" si="33"/>
        <v>Mer. octobre , 2026</v>
      </c>
      <c r="Z147" s="143">
        <f t="shared" ca="1" si="24"/>
        <v>31</v>
      </c>
      <c r="AA147" s="348">
        <f t="shared" ca="1" si="25"/>
        <v>10</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Mer</v>
      </c>
      <c r="U148" s="186" t="str">
        <f t="shared" ca="1" si="32"/>
        <v>octobre</v>
      </c>
      <c r="X148" s="347">
        <f t="shared" ca="1" si="36"/>
        <v>46295</v>
      </c>
      <c r="Y148" s="452" t="str">
        <f t="shared" ca="1" si="33"/>
        <v>Mer. octobre , 2026</v>
      </c>
      <c r="Z148" s="143">
        <f t="shared" ref="Z148:Z194" ca="1" si="43">MIN(R148,$AF$5)</f>
        <v>31</v>
      </c>
      <c r="AA148" s="348">
        <f t="shared" ref="AA148:AA194" ca="1" si="44">$AD$6</f>
        <v>10</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Mer</v>
      </c>
      <c r="U149" s="186" t="str">
        <f t="shared" ref="U149:U194" ca="1" si="51">$U$19</f>
        <v>octobre</v>
      </c>
      <c r="X149" s="347">
        <f t="shared" ca="1" si="36"/>
        <v>46295</v>
      </c>
      <c r="Y149" s="452" t="str">
        <f t="shared" ref="Y149:Y194" ca="1" si="52">IF(Y143="f",T149&amp;". "&amp;" "&amp;R149&amp;" "&amp;U149&amp;" "&amp;$AE$7,T149&amp;". "&amp;U149&amp;" "&amp;R149&amp;", "&amp;$AE$7)</f>
        <v>Mer. octobre , 2026</v>
      </c>
      <c r="Z149" s="143">
        <f t="shared" ca="1" si="43"/>
        <v>31</v>
      </c>
      <c r="AA149" s="348">
        <f t="shared" ca="1" si="44"/>
        <v>10</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Mer</v>
      </c>
      <c r="U150" s="186" t="str">
        <f t="shared" ca="1" si="51"/>
        <v>octobre</v>
      </c>
      <c r="X150" s="347">
        <f t="shared" ref="X150:X194" ca="1" si="55">$AE$8+D150</f>
        <v>46295</v>
      </c>
      <c r="Y150" s="452" t="str">
        <f t="shared" ca="1" si="52"/>
        <v>Mer. octobre , 2026</v>
      </c>
      <c r="Z150" s="143">
        <f t="shared" ca="1" si="43"/>
        <v>31</v>
      </c>
      <c r="AA150" s="348">
        <f t="shared" ca="1" si="44"/>
        <v>10</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Mer</v>
      </c>
      <c r="U151" s="186" t="str">
        <f t="shared" ca="1" si="51"/>
        <v>octobre</v>
      </c>
      <c r="X151" s="347">
        <f t="shared" ca="1" si="55"/>
        <v>46295</v>
      </c>
      <c r="Y151" s="452" t="str">
        <f t="shared" ca="1" si="52"/>
        <v>Mer. octobre , 2026</v>
      </c>
      <c r="Z151" s="143">
        <f t="shared" ca="1" si="43"/>
        <v>31</v>
      </c>
      <c r="AA151" s="348">
        <f t="shared" ca="1" si="44"/>
        <v>10</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Mer</v>
      </c>
      <c r="U152" s="186" t="str">
        <f t="shared" ca="1" si="51"/>
        <v>octobre</v>
      </c>
      <c r="X152" s="347">
        <f t="shared" ca="1" si="55"/>
        <v>46295</v>
      </c>
      <c r="Y152" s="452" t="str">
        <f t="shared" ca="1" si="52"/>
        <v>Mer. octobre , 2026</v>
      </c>
      <c r="Z152" s="143">
        <f t="shared" ca="1" si="43"/>
        <v>31</v>
      </c>
      <c r="AA152" s="348">
        <f t="shared" ca="1" si="44"/>
        <v>10</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Mer</v>
      </c>
      <c r="U153" s="186" t="str">
        <f t="shared" ca="1" si="51"/>
        <v>octobre</v>
      </c>
      <c r="X153" s="347">
        <f t="shared" ca="1" si="55"/>
        <v>46295</v>
      </c>
      <c r="Y153" s="452" t="str">
        <f t="shared" ca="1" si="52"/>
        <v>Mer. octobre , 2026</v>
      </c>
      <c r="Z153" s="143">
        <f t="shared" ca="1" si="43"/>
        <v>31</v>
      </c>
      <c r="AA153" s="348">
        <f t="shared" ca="1" si="44"/>
        <v>10</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Mer</v>
      </c>
      <c r="U154" s="186" t="str">
        <f t="shared" ca="1" si="51"/>
        <v>octobre</v>
      </c>
      <c r="X154" s="347">
        <f t="shared" ca="1" si="55"/>
        <v>46295</v>
      </c>
      <c r="Y154" s="452" t="str">
        <f t="shared" ca="1" si="52"/>
        <v>Mer. octobre , 2026</v>
      </c>
      <c r="Z154" s="143">
        <f t="shared" ca="1" si="43"/>
        <v>31</v>
      </c>
      <c r="AA154" s="348">
        <f t="shared" ca="1" si="44"/>
        <v>10</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Mer</v>
      </c>
      <c r="U155" s="186" t="str">
        <f t="shared" ca="1" si="51"/>
        <v>octobre</v>
      </c>
      <c r="X155" s="347">
        <f t="shared" ca="1" si="55"/>
        <v>46295</v>
      </c>
      <c r="Y155" s="452" t="str">
        <f t="shared" ca="1" si="52"/>
        <v>Mer. octobre , 2026</v>
      </c>
      <c r="Z155" s="143">
        <f t="shared" ca="1" si="43"/>
        <v>31</v>
      </c>
      <c r="AA155" s="348">
        <f t="shared" ca="1" si="44"/>
        <v>10</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Mer</v>
      </c>
      <c r="U156" s="186" t="str">
        <f t="shared" ca="1" si="51"/>
        <v>octobre</v>
      </c>
      <c r="X156" s="347">
        <f t="shared" ca="1" si="55"/>
        <v>46295</v>
      </c>
      <c r="Y156" s="452" t="str">
        <f t="shared" ca="1" si="52"/>
        <v>Mer. octobre , 2026</v>
      </c>
      <c r="Z156" s="143">
        <f t="shared" ca="1" si="43"/>
        <v>31</v>
      </c>
      <c r="AA156" s="348">
        <f t="shared" ca="1" si="44"/>
        <v>10</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Mer</v>
      </c>
      <c r="U157" s="186" t="str">
        <f t="shared" ca="1" si="51"/>
        <v>octobre</v>
      </c>
      <c r="X157" s="347">
        <f t="shared" ca="1" si="55"/>
        <v>46295</v>
      </c>
      <c r="Y157" s="452" t="str">
        <f t="shared" ca="1" si="52"/>
        <v>Mer. octobre , 2026</v>
      </c>
      <c r="Z157" s="143">
        <f t="shared" ca="1" si="43"/>
        <v>31</v>
      </c>
      <c r="AA157" s="348">
        <f t="shared" ca="1" si="44"/>
        <v>10</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Mer</v>
      </c>
      <c r="U158" s="186" t="str">
        <f t="shared" ca="1" si="51"/>
        <v>octobre</v>
      </c>
      <c r="X158" s="347">
        <f t="shared" ca="1" si="55"/>
        <v>46295</v>
      </c>
      <c r="Y158" s="452" t="str">
        <f t="shared" ca="1" si="52"/>
        <v>Mer. octobre , 2026</v>
      </c>
      <c r="Z158" s="143">
        <f t="shared" ca="1" si="43"/>
        <v>31</v>
      </c>
      <c r="AA158" s="348">
        <f t="shared" ca="1" si="44"/>
        <v>10</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Mer</v>
      </c>
      <c r="U159" s="186" t="str">
        <f t="shared" ca="1" si="51"/>
        <v>octobre</v>
      </c>
      <c r="X159" s="347">
        <f t="shared" ca="1" si="55"/>
        <v>46295</v>
      </c>
      <c r="Y159" s="452" t="str">
        <f t="shared" ca="1" si="52"/>
        <v>Mer. octobre , 2026</v>
      </c>
      <c r="Z159" s="143">
        <f t="shared" ca="1" si="43"/>
        <v>31</v>
      </c>
      <c r="AA159" s="348">
        <f t="shared" ca="1" si="44"/>
        <v>10</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Mer</v>
      </c>
      <c r="U160" s="186" t="str">
        <f t="shared" ca="1" si="51"/>
        <v>octobre</v>
      </c>
      <c r="X160" s="347">
        <f t="shared" ca="1" si="55"/>
        <v>46295</v>
      </c>
      <c r="Y160" s="452" t="str">
        <f t="shared" ca="1" si="52"/>
        <v>Mer. octobre , 2026</v>
      </c>
      <c r="Z160" s="143">
        <f t="shared" ca="1" si="43"/>
        <v>31</v>
      </c>
      <c r="AA160" s="348">
        <f t="shared" ca="1" si="44"/>
        <v>10</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Mer</v>
      </c>
      <c r="U161" s="186" t="str">
        <f t="shared" ca="1" si="51"/>
        <v>octobre</v>
      </c>
      <c r="X161" s="347">
        <f t="shared" ca="1" si="55"/>
        <v>46295</v>
      </c>
      <c r="Y161" s="452" t="str">
        <f t="shared" ca="1" si="52"/>
        <v>Mer. octobre , 2026</v>
      </c>
      <c r="Z161" s="143">
        <f t="shared" ca="1" si="43"/>
        <v>31</v>
      </c>
      <c r="AA161" s="348">
        <f t="shared" ca="1" si="44"/>
        <v>10</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Mer</v>
      </c>
      <c r="U162" s="186" t="str">
        <f t="shared" ca="1" si="51"/>
        <v>octobre</v>
      </c>
      <c r="X162" s="347">
        <f t="shared" ca="1" si="55"/>
        <v>46295</v>
      </c>
      <c r="Y162" s="452" t="str">
        <f t="shared" ca="1" si="52"/>
        <v>Mer. octobre , 2026</v>
      </c>
      <c r="Z162" s="143">
        <f t="shared" ca="1" si="43"/>
        <v>31</v>
      </c>
      <c r="AA162" s="348">
        <f t="shared" ca="1" si="44"/>
        <v>10</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Mer</v>
      </c>
      <c r="U163" s="186" t="str">
        <f t="shared" ca="1" si="51"/>
        <v>octobre</v>
      </c>
      <c r="X163" s="347">
        <f t="shared" ca="1" si="55"/>
        <v>46295</v>
      </c>
      <c r="Y163" s="452" t="str">
        <f t="shared" ca="1" si="52"/>
        <v>Mer. octobre , 2026</v>
      </c>
      <c r="Z163" s="143">
        <f t="shared" ca="1" si="43"/>
        <v>31</v>
      </c>
      <c r="AA163" s="348">
        <f t="shared" ca="1" si="44"/>
        <v>10</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Mer</v>
      </c>
      <c r="U164" s="186" t="str">
        <f t="shared" ca="1" si="51"/>
        <v>octobre</v>
      </c>
      <c r="X164" s="347">
        <f t="shared" ca="1" si="55"/>
        <v>46295</v>
      </c>
      <c r="Y164" s="452" t="str">
        <f t="shared" ca="1" si="52"/>
        <v>Mer. octobre , 2026</v>
      </c>
      <c r="Z164" s="143">
        <f t="shared" ca="1" si="43"/>
        <v>31</v>
      </c>
      <c r="AA164" s="348">
        <f t="shared" ca="1" si="44"/>
        <v>10</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Mer</v>
      </c>
      <c r="U165" s="186" t="str">
        <f t="shared" ca="1" si="51"/>
        <v>octobre</v>
      </c>
      <c r="X165" s="347">
        <f t="shared" ca="1" si="55"/>
        <v>46295</v>
      </c>
      <c r="Y165" s="452" t="str">
        <f t="shared" ca="1" si="52"/>
        <v>Mer. octobre , 2026</v>
      </c>
      <c r="Z165" s="143">
        <f t="shared" ca="1" si="43"/>
        <v>31</v>
      </c>
      <c r="AA165" s="348">
        <f t="shared" ca="1" si="44"/>
        <v>10</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Mer</v>
      </c>
      <c r="U166" s="186" t="str">
        <f t="shared" ca="1" si="51"/>
        <v>octobre</v>
      </c>
      <c r="X166" s="347">
        <f t="shared" ca="1" si="55"/>
        <v>46295</v>
      </c>
      <c r="Y166" s="452" t="str">
        <f t="shared" ca="1" si="52"/>
        <v>Mer. octobre , 2026</v>
      </c>
      <c r="Z166" s="143">
        <f t="shared" ca="1" si="43"/>
        <v>31</v>
      </c>
      <c r="AA166" s="348">
        <f t="shared" ca="1" si="44"/>
        <v>10</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Mer</v>
      </c>
      <c r="U167" s="186" t="str">
        <f t="shared" ca="1" si="51"/>
        <v>octobre</v>
      </c>
      <c r="X167" s="347">
        <f t="shared" ca="1" si="55"/>
        <v>46295</v>
      </c>
      <c r="Y167" s="452" t="str">
        <f t="shared" ca="1" si="52"/>
        <v>Mer. octobre , 2026</v>
      </c>
      <c r="Z167" s="143">
        <f t="shared" ca="1" si="43"/>
        <v>31</v>
      </c>
      <c r="AA167" s="348">
        <f t="shared" ca="1" si="44"/>
        <v>10</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Mer</v>
      </c>
      <c r="U168" s="186" t="str">
        <f t="shared" ca="1" si="51"/>
        <v>octobre</v>
      </c>
      <c r="X168" s="347">
        <f t="shared" ca="1" si="55"/>
        <v>46295</v>
      </c>
      <c r="Y168" s="452" t="str">
        <f t="shared" ca="1" si="52"/>
        <v>Mer. octobre , 2026</v>
      </c>
      <c r="Z168" s="143">
        <f t="shared" ca="1" si="43"/>
        <v>31</v>
      </c>
      <c r="AA168" s="348">
        <f t="shared" ca="1" si="44"/>
        <v>10</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Mer</v>
      </c>
      <c r="U169" s="186" t="str">
        <f t="shared" ca="1" si="51"/>
        <v>octobre</v>
      </c>
      <c r="X169" s="347">
        <f t="shared" ca="1" si="55"/>
        <v>46295</v>
      </c>
      <c r="Y169" s="452" t="str">
        <f t="shared" ca="1" si="52"/>
        <v>Mer. octobre , 2026</v>
      </c>
      <c r="Z169" s="143">
        <f t="shared" ca="1" si="43"/>
        <v>31</v>
      </c>
      <c r="AA169" s="348">
        <f t="shared" ca="1" si="44"/>
        <v>10</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Mer</v>
      </c>
      <c r="U170" s="186" t="str">
        <f t="shared" ca="1" si="51"/>
        <v>octobre</v>
      </c>
      <c r="X170" s="347">
        <f t="shared" ca="1" si="55"/>
        <v>46295</v>
      </c>
      <c r="Y170" s="452" t="str">
        <f t="shared" ca="1" si="52"/>
        <v>Mer. octobre , 2026</v>
      </c>
      <c r="Z170" s="143">
        <f t="shared" ca="1" si="43"/>
        <v>31</v>
      </c>
      <c r="AA170" s="348">
        <f t="shared" ca="1" si="44"/>
        <v>10</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Mer</v>
      </c>
      <c r="U171" s="186" t="str">
        <f t="shared" ca="1" si="51"/>
        <v>octobre</v>
      </c>
      <c r="X171" s="347">
        <f t="shared" ca="1" si="55"/>
        <v>46295</v>
      </c>
      <c r="Y171" s="452" t="str">
        <f t="shared" ca="1" si="52"/>
        <v>Mer. octobre , 2026</v>
      </c>
      <c r="Z171" s="143">
        <f t="shared" ca="1" si="43"/>
        <v>31</v>
      </c>
      <c r="AA171" s="348">
        <f t="shared" ca="1" si="44"/>
        <v>10</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Mer</v>
      </c>
      <c r="U172" s="186" t="str">
        <f t="shared" ca="1" si="51"/>
        <v>octobre</v>
      </c>
      <c r="X172" s="347">
        <f t="shared" ca="1" si="55"/>
        <v>46295</v>
      </c>
      <c r="Y172" s="452" t="str">
        <f t="shared" ca="1" si="52"/>
        <v>Mer. octobre , 2026</v>
      </c>
      <c r="Z172" s="143">
        <f t="shared" ca="1" si="43"/>
        <v>31</v>
      </c>
      <c r="AA172" s="348">
        <f t="shared" ca="1" si="44"/>
        <v>10</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Mer</v>
      </c>
      <c r="U173" s="186" t="str">
        <f t="shared" ca="1" si="51"/>
        <v>octobre</v>
      </c>
      <c r="X173" s="347">
        <f t="shared" ca="1" si="55"/>
        <v>46295</v>
      </c>
      <c r="Y173" s="452" t="str">
        <f t="shared" ca="1" si="52"/>
        <v>Mer. octobre , 2026</v>
      </c>
      <c r="Z173" s="143">
        <f t="shared" ca="1" si="43"/>
        <v>31</v>
      </c>
      <c r="AA173" s="348">
        <f t="shared" ca="1" si="44"/>
        <v>10</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Mer</v>
      </c>
      <c r="U174" s="186" t="str">
        <f t="shared" ca="1" si="51"/>
        <v>octobre</v>
      </c>
      <c r="X174" s="347">
        <f t="shared" ca="1" si="55"/>
        <v>46295</v>
      </c>
      <c r="Y174" s="452" t="str">
        <f t="shared" ca="1" si="52"/>
        <v>Mer. octobre , 2026</v>
      </c>
      <c r="Z174" s="143">
        <f t="shared" ca="1" si="43"/>
        <v>31</v>
      </c>
      <c r="AA174" s="348">
        <f t="shared" ca="1" si="44"/>
        <v>10</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Mer</v>
      </c>
      <c r="U175" s="186" t="str">
        <f t="shared" ca="1" si="51"/>
        <v>octobre</v>
      </c>
      <c r="X175" s="347">
        <f t="shared" ca="1" si="55"/>
        <v>46295</v>
      </c>
      <c r="Y175" s="452" t="str">
        <f t="shared" ca="1" si="52"/>
        <v>Mer. octobre , 2026</v>
      </c>
      <c r="Z175" s="143">
        <f t="shared" ca="1" si="43"/>
        <v>31</v>
      </c>
      <c r="AA175" s="348">
        <f t="shared" ca="1" si="44"/>
        <v>10</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Mer</v>
      </c>
      <c r="U176" s="186" t="str">
        <f t="shared" ca="1" si="51"/>
        <v>octobre</v>
      </c>
      <c r="X176" s="347">
        <f t="shared" ca="1" si="55"/>
        <v>46295</v>
      </c>
      <c r="Y176" s="452" t="str">
        <f t="shared" ca="1" si="52"/>
        <v>Mer. octobre , 2026</v>
      </c>
      <c r="Z176" s="143">
        <f t="shared" ca="1" si="43"/>
        <v>31</v>
      </c>
      <c r="AA176" s="348">
        <f t="shared" ca="1" si="44"/>
        <v>10</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Mer</v>
      </c>
      <c r="U177" s="186" t="str">
        <f t="shared" ca="1" si="51"/>
        <v>octobre</v>
      </c>
      <c r="X177" s="347">
        <f t="shared" ca="1" si="55"/>
        <v>46295</v>
      </c>
      <c r="Y177" s="452" t="str">
        <f t="shared" ca="1" si="52"/>
        <v>Mer. octobre , 2026</v>
      </c>
      <c r="Z177" s="143">
        <f t="shared" ca="1" si="43"/>
        <v>31</v>
      </c>
      <c r="AA177" s="348">
        <f t="shared" ca="1" si="44"/>
        <v>10</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Mer</v>
      </c>
      <c r="U178" s="186" t="str">
        <f t="shared" ca="1" si="51"/>
        <v>octobre</v>
      </c>
      <c r="X178" s="347">
        <f t="shared" ca="1" si="55"/>
        <v>46295</v>
      </c>
      <c r="Y178" s="452" t="str">
        <f t="shared" ca="1" si="52"/>
        <v>Mer. octobre , 2026</v>
      </c>
      <c r="Z178" s="143">
        <f t="shared" ca="1" si="43"/>
        <v>31</v>
      </c>
      <c r="AA178" s="348">
        <f t="shared" ca="1" si="44"/>
        <v>10</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Mer</v>
      </c>
      <c r="U179" s="186" t="str">
        <f t="shared" ca="1" si="51"/>
        <v>octobre</v>
      </c>
      <c r="X179" s="347">
        <f t="shared" ca="1" si="55"/>
        <v>46295</v>
      </c>
      <c r="Y179" s="452" t="str">
        <f t="shared" ca="1" si="52"/>
        <v>Mer. octobre , 2026</v>
      </c>
      <c r="Z179" s="143">
        <f t="shared" ca="1" si="43"/>
        <v>31</v>
      </c>
      <c r="AA179" s="348">
        <f t="shared" ca="1" si="44"/>
        <v>10</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Mer</v>
      </c>
      <c r="U180" s="186" t="str">
        <f t="shared" ca="1" si="51"/>
        <v>octobre</v>
      </c>
      <c r="X180" s="347">
        <f t="shared" ca="1" si="55"/>
        <v>46295</v>
      </c>
      <c r="Y180" s="452" t="str">
        <f t="shared" ca="1" si="52"/>
        <v>Mer. octobre , 2026</v>
      </c>
      <c r="Z180" s="143">
        <f t="shared" ca="1" si="43"/>
        <v>31</v>
      </c>
      <c r="AA180" s="348">
        <f t="shared" ca="1" si="44"/>
        <v>10</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Mer</v>
      </c>
      <c r="U181" s="186" t="str">
        <f t="shared" ca="1" si="51"/>
        <v>octobre</v>
      </c>
      <c r="X181" s="347">
        <f t="shared" ca="1" si="55"/>
        <v>46295</v>
      </c>
      <c r="Y181" s="452" t="str">
        <f t="shared" ca="1" si="52"/>
        <v>Mer. octobre , 2026</v>
      </c>
      <c r="Z181" s="143">
        <f t="shared" ca="1" si="43"/>
        <v>31</v>
      </c>
      <c r="AA181" s="348">
        <f t="shared" ca="1" si="44"/>
        <v>10</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Mer</v>
      </c>
      <c r="U182" s="186" t="str">
        <f t="shared" ca="1" si="51"/>
        <v>octobre</v>
      </c>
      <c r="X182" s="347">
        <f t="shared" ca="1" si="55"/>
        <v>46295</v>
      </c>
      <c r="Y182" s="452" t="str">
        <f t="shared" ca="1" si="52"/>
        <v>Mer. octobre , 2026</v>
      </c>
      <c r="Z182" s="143">
        <f t="shared" ca="1" si="43"/>
        <v>31</v>
      </c>
      <c r="AA182" s="348">
        <f t="shared" ca="1" si="44"/>
        <v>10</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Mer</v>
      </c>
      <c r="U183" s="186" t="str">
        <f t="shared" ca="1" si="51"/>
        <v>octobre</v>
      </c>
      <c r="X183" s="347">
        <f t="shared" ca="1" si="55"/>
        <v>46295</v>
      </c>
      <c r="Y183" s="452" t="str">
        <f t="shared" ca="1" si="52"/>
        <v>Mer. octobre , 2026</v>
      </c>
      <c r="Z183" s="143">
        <f t="shared" ca="1" si="43"/>
        <v>31</v>
      </c>
      <c r="AA183" s="348">
        <f t="shared" ca="1" si="44"/>
        <v>10</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Mer</v>
      </c>
      <c r="U184" s="186" t="str">
        <f t="shared" ca="1" si="51"/>
        <v>octobre</v>
      </c>
      <c r="X184" s="347">
        <f t="shared" ca="1" si="55"/>
        <v>46295</v>
      </c>
      <c r="Y184" s="452" t="str">
        <f t="shared" ca="1" si="52"/>
        <v>Mer. octobre , 2026</v>
      </c>
      <c r="Z184" s="143">
        <f t="shared" ca="1" si="43"/>
        <v>31</v>
      </c>
      <c r="AA184" s="348">
        <f t="shared" ca="1" si="44"/>
        <v>10</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Mer</v>
      </c>
      <c r="U185" s="186" t="str">
        <f t="shared" ca="1" si="51"/>
        <v>octobre</v>
      </c>
      <c r="X185" s="347">
        <f t="shared" ca="1" si="55"/>
        <v>46295</v>
      </c>
      <c r="Y185" s="452" t="str">
        <f t="shared" ca="1" si="52"/>
        <v>Mer. octobre , 2026</v>
      </c>
      <c r="Z185" s="143">
        <f t="shared" ca="1" si="43"/>
        <v>31</v>
      </c>
      <c r="AA185" s="348">
        <f t="shared" ca="1" si="44"/>
        <v>10</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Mer</v>
      </c>
      <c r="U186" s="186" t="str">
        <f t="shared" ca="1" si="51"/>
        <v>octobre</v>
      </c>
      <c r="X186" s="347">
        <f t="shared" ca="1" si="55"/>
        <v>46295</v>
      </c>
      <c r="Y186" s="452" t="str">
        <f t="shared" ca="1" si="52"/>
        <v>Mer. octobre , 2026</v>
      </c>
      <c r="Z186" s="143">
        <f t="shared" ca="1" si="43"/>
        <v>31</v>
      </c>
      <c r="AA186" s="348">
        <f t="shared" ca="1" si="44"/>
        <v>10</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Mer</v>
      </c>
      <c r="U187" s="186" t="str">
        <f t="shared" ca="1" si="51"/>
        <v>octobre</v>
      </c>
      <c r="X187" s="347">
        <f t="shared" ca="1" si="55"/>
        <v>46295</v>
      </c>
      <c r="Y187" s="452" t="str">
        <f t="shared" ca="1" si="52"/>
        <v>Mer. octobre , 2026</v>
      </c>
      <c r="Z187" s="143">
        <f t="shared" ca="1" si="43"/>
        <v>31</v>
      </c>
      <c r="AA187" s="348">
        <f t="shared" ca="1" si="44"/>
        <v>10</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Mer</v>
      </c>
      <c r="U188" s="186" t="str">
        <f t="shared" ca="1" si="51"/>
        <v>octobre</v>
      </c>
      <c r="X188" s="347">
        <f t="shared" ca="1" si="55"/>
        <v>46295</v>
      </c>
      <c r="Y188" s="452" t="str">
        <f t="shared" ca="1" si="52"/>
        <v>Mer. octobre , 2026</v>
      </c>
      <c r="Z188" s="143">
        <f t="shared" ca="1" si="43"/>
        <v>31</v>
      </c>
      <c r="AA188" s="348">
        <f t="shared" ca="1" si="44"/>
        <v>10</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Mer</v>
      </c>
      <c r="U189" s="186" t="str">
        <f t="shared" ca="1" si="51"/>
        <v>octobre</v>
      </c>
      <c r="X189" s="347">
        <f t="shared" ca="1" si="55"/>
        <v>46295</v>
      </c>
      <c r="Y189" s="452" t="str">
        <f t="shared" ca="1" si="52"/>
        <v>Mer. octobre , 2026</v>
      </c>
      <c r="Z189" s="143">
        <f t="shared" ca="1" si="43"/>
        <v>31</v>
      </c>
      <c r="AA189" s="348">
        <f t="shared" ca="1" si="44"/>
        <v>10</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Mer</v>
      </c>
      <c r="U190" s="186" t="str">
        <f t="shared" ca="1" si="51"/>
        <v>octobre</v>
      </c>
      <c r="X190" s="347">
        <f t="shared" ca="1" si="55"/>
        <v>46295</v>
      </c>
      <c r="Y190" s="452" t="str">
        <f t="shared" ca="1" si="52"/>
        <v>Mer. octobre , 2026</v>
      </c>
      <c r="Z190" s="143">
        <f t="shared" ca="1" si="43"/>
        <v>31</v>
      </c>
      <c r="AA190" s="348">
        <f t="shared" ca="1" si="44"/>
        <v>10</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Mer</v>
      </c>
      <c r="U191" s="186" t="str">
        <f t="shared" ca="1" si="51"/>
        <v>octobre</v>
      </c>
      <c r="X191" s="347">
        <f t="shared" ca="1" si="55"/>
        <v>46295</v>
      </c>
      <c r="Y191" s="452" t="str">
        <f t="shared" ca="1" si="52"/>
        <v>Mer. octobre , 2026</v>
      </c>
      <c r="Z191" s="143">
        <f t="shared" ca="1" si="43"/>
        <v>31</v>
      </c>
      <c r="AA191" s="348">
        <f t="shared" ca="1" si="44"/>
        <v>10</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Mer</v>
      </c>
      <c r="U192" s="186" t="str">
        <f t="shared" ca="1" si="51"/>
        <v>octobre</v>
      </c>
      <c r="X192" s="347">
        <f t="shared" ca="1" si="55"/>
        <v>46295</v>
      </c>
      <c r="Y192" s="452" t="str">
        <f t="shared" ca="1" si="52"/>
        <v>Mer. octobre , 2026</v>
      </c>
      <c r="Z192" s="143">
        <f t="shared" ca="1" si="43"/>
        <v>31</v>
      </c>
      <c r="AA192" s="348">
        <f t="shared" ca="1" si="44"/>
        <v>10</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Mer</v>
      </c>
      <c r="U193" s="186" t="str">
        <f t="shared" ca="1" si="51"/>
        <v>octobre</v>
      </c>
      <c r="X193" s="347">
        <f t="shared" ca="1" si="55"/>
        <v>46295</v>
      </c>
      <c r="Y193" s="452" t="str">
        <f t="shared" ca="1" si="52"/>
        <v>Mer. octobre , 2026</v>
      </c>
      <c r="Z193" s="143">
        <f t="shared" ca="1" si="43"/>
        <v>31</v>
      </c>
      <c r="AA193" s="348">
        <f t="shared" ca="1" si="44"/>
        <v>10</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Mer</v>
      </c>
      <c r="U194" s="186" t="str">
        <f t="shared" ca="1" si="51"/>
        <v>octobre</v>
      </c>
      <c r="X194" s="347">
        <f t="shared" ca="1" si="55"/>
        <v>46295</v>
      </c>
      <c r="Y194" s="452" t="str">
        <f t="shared" ca="1" si="52"/>
        <v>Mer. octobre , 2026</v>
      </c>
      <c r="Z194" s="143">
        <f t="shared" ca="1" si="43"/>
        <v>31</v>
      </c>
      <c r="AA194" s="348">
        <f t="shared" ca="1" si="44"/>
        <v>10</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15" priority="61" stopIfTrue="1">
      <formula>AND($AJ$2=$AF$5,$X$16=$X$13)</formula>
    </cfRule>
  </conditionalFormatting>
  <conditionalFormatting sqref="B18">
    <cfRule type="expression" dxfId="214" priority="40" stopIfTrue="1">
      <formula>(B18&gt;DATE(2000+$Y$2,$AA$21+1,1)-DATE(2000+$Y$2,$AA$21,1))</formula>
    </cfRule>
  </conditionalFormatting>
  <conditionalFormatting sqref="B20:B194">
    <cfRule type="expression" dxfId="213" priority="7" stopIfTrue="1">
      <formula>($G20="- -")</formula>
    </cfRule>
  </conditionalFormatting>
  <conditionalFormatting sqref="B16:J16">
    <cfRule type="expression" dxfId="212" priority="47" stopIfTrue="1">
      <formula>AND($AJ$2=$AF$5,$X$16=$X$13)</formula>
    </cfRule>
  </conditionalFormatting>
  <conditionalFormatting sqref="C17">
    <cfRule type="cellIs" dxfId="211" priority="46" stopIfTrue="1" operator="equal">
      <formula>"X"</formula>
    </cfRule>
  </conditionalFormatting>
  <conditionalFormatting sqref="C20:C194">
    <cfRule type="expression" dxfId="210" priority="15" stopIfTrue="1">
      <formula>($X$16=$X$14)</formula>
    </cfRule>
    <cfRule type="expression" dxfId="209" priority="16" stopIfTrue="1">
      <formula>($AV20=1)</formula>
    </cfRule>
    <cfRule type="expression" dxfId="208" priority="17" stopIfTrue="1">
      <formula>AND(D20=1+D19,G20=X20)</formula>
    </cfRule>
  </conditionalFormatting>
  <conditionalFormatting sqref="C9:J9">
    <cfRule type="expression" dxfId="207" priority="72" stopIfTrue="1">
      <formula>AND(ISNUMBER(C$9),ISNUMBER(C10),(C$9&gt;C$10))</formula>
    </cfRule>
  </conditionalFormatting>
  <conditionalFormatting sqref="C10:J10">
    <cfRule type="expression" dxfId="206" priority="78" stopIfTrue="1">
      <formula>AND(ISNUMBER(C$9),ISNUMBER(C10),(C$9&gt;C$10))</formula>
    </cfRule>
  </conditionalFormatting>
  <conditionalFormatting sqref="D20">
    <cfRule type="expression" dxfId="205" priority="19" stopIfTrue="1">
      <formula>AND($G20&lt;&gt;"- -",$G20&lt;&gt;$Y20)</formula>
    </cfRule>
    <cfRule type="expression" dxfId="204" priority="20" stopIfTrue="1">
      <formula>($AI20=1)</formula>
    </cfRule>
  </conditionalFormatting>
  <conditionalFormatting sqref="D21:D194">
    <cfRule type="expression" dxfId="203" priority="64" stopIfTrue="1">
      <formula>($AI21=1)</formula>
    </cfRule>
    <cfRule type="expression" dxfId="202" priority="63" stopIfTrue="1">
      <formula>AND($G21&lt;&gt;"- -",$G21&lt;&gt;$Y21)</formula>
    </cfRule>
  </conditionalFormatting>
  <conditionalFormatting sqref="D18:G19">
    <cfRule type="expression" dxfId="201" priority="39" stopIfTrue="1">
      <formula>($AB$16&lt;2)</formula>
    </cfRule>
  </conditionalFormatting>
  <conditionalFormatting sqref="D20:G194">
    <cfRule type="expression" dxfId="200" priority="18" stopIfTrue="1">
      <formula>OR($G20=$G19,$D20=$D19)</formula>
    </cfRule>
  </conditionalFormatting>
  <conditionalFormatting sqref="E8:F8">
    <cfRule type="expression" dxfId="199" priority="74" stopIfTrue="1">
      <formula>AND(ISNUMBER(E$9),ISNUMBER(E10),(E$9&gt;E$10))</formula>
    </cfRule>
    <cfRule type="expression" dxfId="198" priority="73" stopIfTrue="1">
      <formula>(BJ$13&gt;0)</formula>
    </cfRule>
  </conditionalFormatting>
  <conditionalFormatting sqref="E20:G20">
    <cfRule type="expression" dxfId="197" priority="23" stopIfTrue="1">
      <formula>($AI20+$AX20&gt;0)</formula>
    </cfRule>
    <cfRule type="expression" dxfId="196" priority="22" stopIfTrue="1">
      <formula>AND($G20&lt;&gt;"- -",$G20&lt;&gt;$Y20)</formula>
    </cfRule>
  </conditionalFormatting>
  <conditionalFormatting sqref="E21:G194">
    <cfRule type="expression" dxfId="195" priority="67" stopIfTrue="1">
      <formula>($AI21+$AX21&gt;0)</formula>
    </cfRule>
    <cfRule type="expression" dxfId="194" priority="66" stopIfTrue="1">
      <formula>AND($G21&lt;&gt;"- -",$G21&lt;&gt;$Y21)</formula>
    </cfRule>
  </conditionalFormatting>
  <conditionalFormatting sqref="G8:J8">
    <cfRule type="expression" dxfId="193" priority="76" stopIfTrue="1">
      <formula>AND(ISNUMBER(G$9),ISNUMBER(G10),(G$9&gt;G$10))</formula>
    </cfRule>
    <cfRule type="expression" dxfId="192" priority="75" stopIfTrue="1">
      <formula>(BK$13&gt;0)</formula>
    </cfRule>
  </conditionalFormatting>
  <conditionalFormatting sqref="H6:I7">
    <cfRule type="expression" dxfId="191" priority="77" stopIfTrue="1">
      <formula>AND(ISNUMBER($H$7),$H$7&lt;$I$7)</formula>
    </cfRule>
  </conditionalFormatting>
  <conditionalFormatting sqref="H21:J194">
    <cfRule type="expression" dxfId="190" priority="5" stopIfTrue="1">
      <formula>($D20=$D21)</formula>
    </cfRule>
  </conditionalFormatting>
  <conditionalFormatting sqref="J7">
    <cfRule type="cellIs" dxfId="189" priority="51" stopIfTrue="1" operator="lessThan">
      <formula>0</formula>
    </cfRule>
  </conditionalFormatting>
  <conditionalFormatting sqref="K20:K34">
    <cfRule type="expression" dxfId="188" priority="71" stopIfTrue="1">
      <formula>AND(ISNUMBER(K20),ISNUMBER(L20),OR(K20&lt;L19,K20&gt;L20))</formula>
    </cfRule>
  </conditionalFormatting>
  <conditionalFormatting sqref="K35:K194">
    <cfRule type="expression" dxfId="187" priority="60" stopIfTrue="1">
      <formula>AND(ISNUMBER(K35),OR(K35&lt;L34,K35&gt;L35,$BM35&lt;&gt;1))</formula>
    </cfRule>
  </conditionalFormatting>
  <conditionalFormatting sqref="K18:L18 BE19:BF19">
    <cfRule type="expression" dxfId="186" priority="29" stopIfTrue="1">
      <formula>($K$19=$AL$7)</formula>
    </cfRule>
  </conditionalFormatting>
  <conditionalFormatting sqref="K20:M194">
    <cfRule type="expression" dxfId="185" priority="53" stopIfTrue="1">
      <formula>OR($AJ$2=$AF$5,$AW20=0,$AV20=1,$AG20=99)</formula>
    </cfRule>
  </conditionalFormatting>
  <conditionalFormatting sqref="L20:L34">
    <cfRule type="expression" dxfId="184" priority="69" stopIfTrue="1">
      <formula>AND(ISNUMBER(L20),OR(AND(L20&lt;K19,B20&gt;1),K20&gt;L20))</formula>
    </cfRule>
  </conditionalFormatting>
  <conditionalFormatting sqref="L35:L194">
    <cfRule type="expression" dxfId="183" priority="58" stopIfTrue="1">
      <formula>AND(ISNUMBER(L35),OR(AND(L35&lt;K34,B35&gt;1),K35&gt;L35,$BN35&lt;&gt;1))</formula>
    </cfRule>
  </conditionalFormatting>
  <conditionalFormatting sqref="M19 BG20">
    <cfRule type="cellIs" dxfId="182" priority="44" stopIfTrue="1" operator="equal">
      <formula>0</formula>
    </cfRule>
    <cfRule type="expression" dxfId="181" priority="45" stopIfTrue="1">
      <formula>($AJ$2=$AF$5)</formula>
    </cfRule>
  </conditionalFormatting>
  <conditionalFormatting sqref="M20:M194">
    <cfRule type="cellIs" dxfId="180" priority="54" stopIfTrue="1" operator="lessThan">
      <formula>0</formula>
    </cfRule>
    <cfRule type="expression" dxfId="179" priority="55" stopIfTrue="1">
      <formula>($D19=$D20)</formula>
    </cfRule>
  </conditionalFormatting>
  <conditionalFormatting sqref="N19:Q19 BH20:BK20">
    <cfRule type="cellIs" dxfId="178" priority="42" stopIfTrue="1" operator="equal">
      <formula>0</formula>
    </cfRule>
    <cfRule type="expression" dxfId="177" priority="43" stopIfTrue="1">
      <formula>($AJ$2=$AF$5)</formula>
    </cfRule>
  </conditionalFormatting>
  <conditionalFormatting sqref="N20:Q194">
    <cfRule type="expression" dxfId="176" priority="52" stopIfTrue="1">
      <formula>OR($AW20=0,$AV20=1,$AG20=99,$AJ$2=$AF$5)</formula>
    </cfRule>
  </conditionalFormatting>
  <conditionalFormatting sqref="R20:R194">
    <cfRule type="expression" dxfId="175" priority="14" stopIfTrue="1">
      <formula>($AI20=1)</formula>
    </cfRule>
    <cfRule type="expression" dxfId="174" priority="13" stopIfTrue="1">
      <formula>"ND($G21&lt;&gt;""- -"",$G21&lt;&gt;TEXT(X21,""Dddd, Mmmm dd, Yyyy""))"</formula>
    </cfRule>
    <cfRule type="expression" dxfId="173" priority="12" stopIfTrue="1">
      <formula>OR($G20=$G19,$D20=$D19)</formula>
    </cfRule>
  </conditionalFormatting>
  <conditionalFormatting sqref="U5">
    <cfRule type="expression" dxfId="172" priority="25" stopIfTrue="1">
      <formula>OR($AC$7,$AC$6)</formula>
    </cfRule>
  </conditionalFormatting>
  <conditionalFormatting sqref="U18 X20:Z194 AC20:AE194 AK20:AK194 AQ20:AR194">
    <cfRule type="cellIs" dxfId="171" priority="6" stopIfTrue="1" operator="notEqual">
      <formula>U17</formula>
    </cfRule>
  </conditionalFormatting>
  <conditionalFormatting sqref="U201:AB201">
    <cfRule type="expression" dxfId="170" priority="41" stopIfTrue="1">
      <formula>(LEN($X$11)&gt;4)</formula>
    </cfRule>
  </conditionalFormatting>
  <conditionalFormatting sqref="V5:V7 J6 U6:U7">
    <cfRule type="expression" dxfId="169" priority="24" stopIfTrue="1">
      <formula>OR($AC$7,$AC$6,#REF!)</formula>
    </cfRule>
  </conditionalFormatting>
  <conditionalFormatting sqref="V19">
    <cfRule type="cellIs" dxfId="168" priority="26" stopIfTrue="1" operator="equal">
      <formula>1</formula>
    </cfRule>
  </conditionalFormatting>
  <conditionalFormatting sqref="AB6">
    <cfRule type="expression" dxfId="167" priority="32" stopIfTrue="1">
      <formula>$AC$6</formula>
    </cfRule>
  </conditionalFormatting>
  <conditionalFormatting sqref="AB7">
    <cfRule type="expression" dxfId="166" priority="31" stopIfTrue="1">
      <formula>$AC$7</formula>
    </cfRule>
  </conditionalFormatting>
  <conditionalFormatting sqref="AB20:AB194">
    <cfRule type="cellIs" dxfId="165" priority="49" stopIfTrue="1" operator="greaterThan">
      <formula>0</formula>
    </cfRule>
    <cfRule type="cellIs" dxfId="164" priority="50" stopIfTrue="1" operator="lessThan">
      <formula>0</formula>
    </cfRule>
  </conditionalFormatting>
  <conditionalFormatting sqref="AF20:AG194">
    <cfRule type="cellIs" dxfId="163" priority="35" stopIfTrue="1" operator="greaterThan">
      <formula>1</formula>
    </cfRule>
  </conditionalFormatting>
  <conditionalFormatting sqref="AJ16:AJ17 AJ20:AJ194">
    <cfRule type="cellIs" dxfId="162" priority="34" stopIfTrue="1" operator="greaterThan">
      <formula>0</formula>
    </cfRule>
  </conditionalFormatting>
  <conditionalFormatting sqref="AK2:BO2">
    <cfRule type="cellIs" dxfId="161" priority="38" stopIfTrue="1" operator="equal">
      <formula>0</formula>
    </cfRule>
  </conditionalFormatting>
  <conditionalFormatting sqref="AK5:BO6">
    <cfRule type="cellIs" dxfId="160" priority="33" stopIfTrue="1" operator="equal">
      <formula>0</formula>
    </cfRule>
  </conditionalFormatting>
  <conditionalFormatting sqref="AP20:AP194">
    <cfRule type="cellIs" dxfId="159" priority="28" stopIfTrue="1" operator="lessThan">
      <formula>999</formula>
    </cfRule>
  </conditionalFormatting>
  <conditionalFormatting sqref="AU20:AU194">
    <cfRule type="expression" dxfId="158" priority="37" stopIfTrue="1">
      <formula>LEN(AU20)&gt;2</formula>
    </cfRule>
  </conditionalFormatting>
  <conditionalFormatting sqref="AV20:AV194">
    <cfRule type="cellIs" dxfId="157" priority="36" stopIfTrue="1" operator="equal">
      <formula>1</formula>
    </cfRule>
  </conditionalFormatting>
  <conditionalFormatting sqref="AW20:AW194">
    <cfRule type="cellIs" dxfId="156" priority="48" stopIfTrue="1" operator="equal">
      <formula>0</formula>
    </cfRule>
  </conditionalFormatting>
  <conditionalFormatting sqref="BE20:BF20">
    <cfRule type="expression" dxfId="155" priority="30" stopIfTrue="1">
      <formula>($K$19=$AL$7)</formula>
    </cfRule>
  </conditionalFormatting>
  <conditionalFormatting sqref="BI10:BI12 BF11:BF12">
    <cfRule type="expression" dxfId="154" priority="9" stopIfTrue="1">
      <formula>(LEN($C$9)=0)</formula>
    </cfRule>
  </conditionalFormatting>
  <conditionalFormatting sqref="BI10:BN12 BF11:BF12">
    <cfRule type="expression" dxfId="153" priority="8" stopIfTrue="1">
      <formula>LEN($AA9)&gt;4</formula>
    </cfRule>
  </conditionalFormatting>
  <conditionalFormatting sqref="BJ10:BN12">
    <cfRule type="expression" dxfId="152" priority="11" stopIfTrue="1">
      <formula>(LEN(E$9)=0)</formula>
    </cfRule>
  </conditionalFormatting>
  <conditionalFormatting sqref="BJ13:BN13 R16:R17">
    <cfRule type="cellIs" dxfId="151" priority="27" stopIfTrue="1" operator="equal">
      <formula>0</formula>
    </cfRule>
  </conditionalFormatting>
  <conditionalFormatting sqref="BM20:BN194">
    <cfRule type="cellIs" dxfId="150" priority="56" stopIfTrue="1" operator="notEqual">
      <formula>1</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E23" sqref="E23"/>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automobile/2026/[electronic-car-log-2025-fr.xlsx]11</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11</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30</v>
      </c>
      <c r="BQ4" s="251"/>
      <c r="BR4" s="7"/>
      <c r="BS4" s="7"/>
      <c r="BT4" s="7"/>
      <c r="IU4" s="16"/>
    </row>
    <row r="5" spans="1:255" ht="15.75" customHeight="1">
      <c r="B5" s="767" t="str">
        <f ca="1">V17</f>
        <v>novembre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November</v>
      </c>
      <c r="AF5" s="136">
        <f ca="1">DATE(AE7,AD6+1,1)-DATE(AE7,AD6,1)</f>
        <v>30</v>
      </c>
      <c r="AG5" s="178" t="str">
        <f ca="1">'NTS ONLY_set_year'!E104&amp;$AF$5&amp;'NTS ONLY_set_year'!E7</f>
        <v>◄ ◄ ◄ Seulement 30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30</v>
      </c>
      <c r="V6" s="263" t="str">
        <f>'NTS ONLY_set_year'!E53</f>
        <v>Jours de disponibilité du véhicule à des fins personnelles</v>
      </c>
      <c r="W6" s="264"/>
      <c r="X6" s="264"/>
      <c r="Y6" s="264"/>
      <c r="Z6" s="264"/>
      <c r="AA6" s="265">
        <f>$D$7</f>
        <v>0</v>
      </c>
      <c r="AB6" s="141"/>
      <c r="AC6" s="142"/>
      <c r="AD6" s="266">
        <f ca="1">MATCH(AD4,'Annual Summary_Sommaire annuel'!$Y$24:$Y$35,0)</f>
        <v>11</v>
      </c>
      <c r="AE6" s="144" t="str">
        <f ca="1">TEXT(DATE($AE$7,$AD$6,1),"Mmmm, YYYY")</f>
        <v>November, 2026</v>
      </c>
      <c r="AF6" s="145">
        <f ca="1">$AF$5</f>
        <v>30</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30</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46326</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30</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30</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novembre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November</v>
      </c>
      <c r="V18" s="510" t="str">
        <f ca="1">AE6</f>
        <v>November,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novembre</v>
      </c>
      <c r="V19" s="510" t="str">
        <f ca="1">U19&amp;" "&amp;Year_four_digits</f>
        <v>novembre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Dim.  1 novembre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Dim</v>
      </c>
      <c r="U20" s="186" t="str">
        <f ca="1">$U$19</f>
        <v>novembre</v>
      </c>
      <c r="X20" s="347">
        <f ca="1">$AE$8+D20</f>
        <v>46327</v>
      </c>
      <c r="Y20" s="452" t="str">
        <f ca="1">IF(Y14="f",T20&amp;". "&amp;" "&amp;R20&amp;" "&amp;U20&amp;" "&amp;$AE$7,T20&amp;". "&amp;U20&amp;" "&amp;R20&amp;", "&amp;$AE$7)</f>
        <v>Dim.  1 novembre 2026</v>
      </c>
      <c r="Z20" s="143">
        <f t="shared" ref="Z20:Z83" ca="1" si="4">MIN(R20,$AF$5)</f>
        <v>1</v>
      </c>
      <c r="AA20" s="348">
        <f t="shared" ref="AA20:AA83" ca="1" si="5">$AD$6</f>
        <v>11</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30</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Sam</v>
      </c>
      <c r="U21" s="186" t="str">
        <f t="shared" ref="U21:U84" ca="1" si="13">$U$19</f>
        <v>novembre</v>
      </c>
      <c r="X21" s="347">
        <f ca="1">$AE$8+D21</f>
        <v>46326</v>
      </c>
      <c r="Y21" s="452" t="str">
        <f t="shared" ref="Y21:Y84" ca="1" si="14">IF(Y15="f",T21&amp;". "&amp;" "&amp;R21&amp;" "&amp;U21&amp;" "&amp;$AE$7,T21&amp;". "&amp;U21&amp;" "&amp;R21&amp;", "&amp;$AE$7)</f>
        <v>Sam. novembre , 2026</v>
      </c>
      <c r="Z21" s="143">
        <f t="shared" ca="1" si="4"/>
        <v>30</v>
      </c>
      <c r="AA21" s="348">
        <f t="shared" ca="1" si="5"/>
        <v>11</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Sam</v>
      </c>
      <c r="U22" s="186" t="str">
        <f t="shared" ca="1" si="13"/>
        <v>novembre</v>
      </c>
      <c r="X22" s="347">
        <f t="shared" ref="X22:X85" ca="1" si="17">$AE$8+D22</f>
        <v>46326</v>
      </c>
      <c r="Y22" s="452" t="str">
        <f t="shared" ca="1" si="14"/>
        <v>Sam. novembre , 2026</v>
      </c>
      <c r="Z22" s="143">
        <f t="shared" ca="1" si="4"/>
        <v>30</v>
      </c>
      <c r="AA22" s="348">
        <f t="shared" ca="1" si="5"/>
        <v>11</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Sam</v>
      </c>
      <c r="U23" s="186" t="str">
        <f t="shared" ca="1" si="13"/>
        <v>novembre</v>
      </c>
      <c r="X23" s="347">
        <f t="shared" ca="1" si="17"/>
        <v>46326</v>
      </c>
      <c r="Y23" s="452" t="str">
        <f t="shared" ca="1" si="14"/>
        <v>Sam. novembre , 2026</v>
      </c>
      <c r="Z23" s="143">
        <f t="shared" ca="1" si="4"/>
        <v>30</v>
      </c>
      <c r="AA23" s="348">
        <f t="shared" ca="1" si="5"/>
        <v>11</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Sam</v>
      </c>
      <c r="U24" s="186" t="str">
        <f t="shared" ca="1" si="13"/>
        <v>novembre</v>
      </c>
      <c r="X24" s="347">
        <f t="shared" ca="1" si="17"/>
        <v>46326</v>
      </c>
      <c r="Y24" s="452" t="str">
        <f t="shared" ca="1" si="14"/>
        <v>Sam. novembre , 2026</v>
      </c>
      <c r="Z24" s="143">
        <f t="shared" ca="1" si="4"/>
        <v>30</v>
      </c>
      <c r="AA24" s="348">
        <f t="shared" ca="1" si="5"/>
        <v>11</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Sam</v>
      </c>
      <c r="U25" s="186" t="str">
        <f t="shared" ca="1" si="13"/>
        <v>novembre</v>
      </c>
      <c r="X25" s="347">
        <f t="shared" ca="1" si="17"/>
        <v>46326</v>
      </c>
      <c r="Y25" s="452" t="str">
        <f t="shared" ca="1" si="14"/>
        <v>Sam. novembre , 2026</v>
      </c>
      <c r="Z25" s="143">
        <f t="shared" ca="1" si="4"/>
        <v>30</v>
      </c>
      <c r="AA25" s="348">
        <f t="shared" ca="1" si="5"/>
        <v>11</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Sam</v>
      </c>
      <c r="U26" s="186" t="str">
        <f t="shared" ca="1" si="13"/>
        <v>novembre</v>
      </c>
      <c r="X26" s="347">
        <f t="shared" ca="1" si="17"/>
        <v>46326</v>
      </c>
      <c r="Y26" s="452" t="str">
        <f t="shared" ca="1" si="14"/>
        <v>Sam. novembre , 2026</v>
      </c>
      <c r="Z26" s="143">
        <f t="shared" ca="1" si="4"/>
        <v>30</v>
      </c>
      <c r="AA26" s="348">
        <f t="shared" ca="1" si="5"/>
        <v>11</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Sam</v>
      </c>
      <c r="U27" s="186" t="str">
        <f t="shared" ca="1" si="13"/>
        <v>novembre</v>
      </c>
      <c r="X27" s="347">
        <f t="shared" ca="1" si="17"/>
        <v>46326</v>
      </c>
      <c r="Y27" s="452" t="str">
        <f t="shared" ca="1" si="14"/>
        <v>Sam. novembre , 2026</v>
      </c>
      <c r="Z27" s="143">
        <f t="shared" ca="1" si="4"/>
        <v>30</v>
      </c>
      <c r="AA27" s="348">
        <f t="shared" ca="1" si="5"/>
        <v>11</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Sam</v>
      </c>
      <c r="U28" s="186" t="str">
        <f t="shared" ca="1" si="13"/>
        <v>novembre</v>
      </c>
      <c r="X28" s="347">
        <f t="shared" ca="1" si="17"/>
        <v>46326</v>
      </c>
      <c r="Y28" s="452" t="str">
        <f t="shared" ca="1" si="14"/>
        <v>Sam. novembre , 2026</v>
      </c>
      <c r="Z28" s="143">
        <f t="shared" ca="1" si="4"/>
        <v>30</v>
      </c>
      <c r="AA28" s="348">
        <f t="shared" ca="1" si="5"/>
        <v>11</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Sam</v>
      </c>
      <c r="U29" s="186" t="str">
        <f t="shared" ca="1" si="13"/>
        <v>novembre</v>
      </c>
      <c r="X29" s="347">
        <f t="shared" ca="1" si="17"/>
        <v>46326</v>
      </c>
      <c r="Y29" s="452" t="str">
        <f t="shared" ca="1" si="14"/>
        <v>Sam. novembre , 2026</v>
      </c>
      <c r="Z29" s="143">
        <f t="shared" ca="1" si="4"/>
        <v>30</v>
      </c>
      <c r="AA29" s="348">
        <f t="shared" ca="1" si="5"/>
        <v>11</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Sam</v>
      </c>
      <c r="U30" s="186" t="str">
        <f t="shared" ca="1" si="13"/>
        <v>novembre</v>
      </c>
      <c r="X30" s="347">
        <f t="shared" ca="1" si="17"/>
        <v>46326</v>
      </c>
      <c r="Y30" s="452" t="str">
        <f t="shared" ca="1" si="14"/>
        <v>Sam. novembre , 2026</v>
      </c>
      <c r="Z30" s="143">
        <f t="shared" ca="1" si="4"/>
        <v>30</v>
      </c>
      <c r="AA30" s="348">
        <f t="shared" ca="1" si="5"/>
        <v>11</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Sam</v>
      </c>
      <c r="U31" s="186" t="str">
        <f t="shared" ca="1" si="13"/>
        <v>novembre</v>
      </c>
      <c r="X31" s="347">
        <f t="shared" ca="1" si="17"/>
        <v>46326</v>
      </c>
      <c r="Y31" s="452" t="str">
        <f t="shared" ca="1" si="14"/>
        <v>Sam. novembre , 2026</v>
      </c>
      <c r="Z31" s="143">
        <f t="shared" ca="1" si="4"/>
        <v>30</v>
      </c>
      <c r="AA31" s="348">
        <f t="shared" ca="1" si="5"/>
        <v>11</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Sam</v>
      </c>
      <c r="U32" s="186" t="str">
        <f t="shared" ca="1" si="13"/>
        <v>novembre</v>
      </c>
      <c r="X32" s="347">
        <f t="shared" ca="1" si="17"/>
        <v>46326</v>
      </c>
      <c r="Y32" s="452" t="str">
        <f t="shared" ca="1" si="14"/>
        <v>Sam. novembre , 2026</v>
      </c>
      <c r="Z32" s="143">
        <f t="shared" ca="1" si="4"/>
        <v>30</v>
      </c>
      <c r="AA32" s="348">
        <f t="shared" ca="1" si="5"/>
        <v>11</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Sam</v>
      </c>
      <c r="U33" s="186" t="str">
        <f t="shared" ca="1" si="13"/>
        <v>novembre</v>
      </c>
      <c r="X33" s="347">
        <f t="shared" ca="1" si="17"/>
        <v>46326</v>
      </c>
      <c r="Y33" s="452" t="str">
        <f t="shared" ca="1" si="14"/>
        <v>Sam. novembre , 2026</v>
      </c>
      <c r="Z33" s="143">
        <f t="shared" ca="1" si="4"/>
        <v>30</v>
      </c>
      <c r="AA33" s="348">
        <f t="shared" ca="1" si="5"/>
        <v>11</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Sam</v>
      </c>
      <c r="U34" s="186" t="str">
        <f t="shared" ca="1" si="13"/>
        <v>novembre</v>
      </c>
      <c r="X34" s="347">
        <f t="shared" ca="1" si="17"/>
        <v>46326</v>
      </c>
      <c r="Y34" s="452" t="str">
        <f t="shared" ca="1" si="14"/>
        <v>Sam. novembre , 2026</v>
      </c>
      <c r="Z34" s="143">
        <f t="shared" ca="1" si="4"/>
        <v>30</v>
      </c>
      <c r="AA34" s="348">
        <f t="shared" ca="1" si="5"/>
        <v>11</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Sam</v>
      </c>
      <c r="U35" s="186" t="str">
        <f t="shared" ca="1" si="13"/>
        <v>novembre</v>
      </c>
      <c r="X35" s="347">
        <f t="shared" ca="1" si="17"/>
        <v>46326</v>
      </c>
      <c r="Y35" s="452" t="str">
        <f t="shared" ca="1" si="14"/>
        <v>Sam. novembre , 2026</v>
      </c>
      <c r="Z35" s="143">
        <f t="shared" ca="1" si="4"/>
        <v>30</v>
      </c>
      <c r="AA35" s="348">
        <f t="shared" ca="1" si="5"/>
        <v>11</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Sam</v>
      </c>
      <c r="U36" s="186" t="str">
        <f t="shared" ca="1" si="13"/>
        <v>novembre</v>
      </c>
      <c r="X36" s="347">
        <f t="shared" ca="1" si="17"/>
        <v>46326</v>
      </c>
      <c r="Y36" s="452" t="str">
        <f t="shared" ca="1" si="14"/>
        <v>Sam. novembre , 2026</v>
      </c>
      <c r="Z36" s="143">
        <f t="shared" ca="1" si="4"/>
        <v>30</v>
      </c>
      <c r="AA36" s="348">
        <f t="shared" ca="1" si="5"/>
        <v>11</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Sam</v>
      </c>
      <c r="U37" s="186" t="str">
        <f t="shared" ca="1" si="13"/>
        <v>novembre</v>
      </c>
      <c r="X37" s="347">
        <f t="shared" ca="1" si="17"/>
        <v>46326</v>
      </c>
      <c r="Y37" s="452" t="str">
        <f t="shared" ca="1" si="14"/>
        <v>Sam. novembre , 2026</v>
      </c>
      <c r="Z37" s="143">
        <f t="shared" ca="1" si="4"/>
        <v>30</v>
      </c>
      <c r="AA37" s="348">
        <f t="shared" ca="1" si="5"/>
        <v>11</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Sam</v>
      </c>
      <c r="U38" s="186" t="str">
        <f t="shared" ca="1" si="13"/>
        <v>novembre</v>
      </c>
      <c r="X38" s="347">
        <f t="shared" ca="1" si="17"/>
        <v>46326</v>
      </c>
      <c r="Y38" s="452" t="str">
        <f t="shared" ca="1" si="14"/>
        <v>Sam. novembre , 2026</v>
      </c>
      <c r="Z38" s="143">
        <f t="shared" ca="1" si="4"/>
        <v>30</v>
      </c>
      <c r="AA38" s="348">
        <f t="shared" ca="1" si="5"/>
        <v>11</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Sam</v>
      </c>
      <c r="U39" s="186" t="str">
        <f t="shared" ca="1" si="13"/>
        <v>novembre</v>
      </c>
      <c r="X39" s="347">
        <f t="shared" ca="1" si="17"/>
        <v>46326</v>
      </c>
      <c r="Y39" s="452" t="str">
        <f t="shared" ca="1" si="14"/>
        <v>Sam. novembre , 2026</v>
      </c>
      <c r="Z39" s="143">
        <f t="shared" ca="1" si="4"/>
        <v>30</v>
      </c>
      <c r="AA39" s="348">
        <f t="shared" ca="1" si="5"/>
        <v>11</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Sam</v>
      </c>
      <c r="U40" s="186" t="str">
        <f t="shared" ca="1" si="13"/>
        <v>novembre</v>
      </c>
      <c r="X40" s="347">
        <f t="shared" ca="1" si="17"/>
        <v>46326</v>
      </c>
      <c r="Y40" s="452" t="str">
        <f t="shared" ca="1" si="14"/>
        <v>Sam. novembre , 2026</v>
      </c>
      <c r="Z40" s="143">
        <f t="shared" ca="1" si="4"/>
        <v>30</v>
      </c>
      <c r="AA40" s="348">
        <f t="shared" ca="1" si="5"/>
        <v>11</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Sam</v>
      </c>
      <c r="U41" s="186" t="str">
        <f t="shared" ca="1" si="13"/>
        <v>novembre</v>
      </c>
      <c r="X41" s="347">
        <f t="shared" ca="1" si="17"/>
        <v>46326</v>
      </c>
      <c r="Y41" s="452" t="str">
        <f t="shared" ca="1" si="14"/>
        <v>Sam. novembre , 2026</v>
      </c>
      <c r="Z41" s="143">
        <f t="shared" ca="1" si="4"/>
        <v>30</v>
      </c>
      <c r="AA41" s="348">
        <f t="shared" ca="1" si="5"/>
        <v>11</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Sam</v>
      </c>
      <c r="U42" s="186" t="str">
        <f t="shared" ca="1" si="13"/>
        <v>novembre</v>
      </c>
      <c r="X42" s="347">
        <f t="shared" ca="1" si="17"/>
        <v>46326</v>
      </c>
      <c r="Y42" s="452" t="str">
        <f t="shared" ca="1" si="14"/>
        <v>Sam. novembre , 2026</v>
      </c>
      <c r="Z42" s="143">
        <f t="shared" ca="1" si="4"/>
        <v>30</v>
      </c>
      <c r="AA42" s="348">
        <f t="shared" ca="1" si="5"/>
        <v>11</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Sam</v>
      </c>
      <c r="U43" s="186" t="str">
        <f t="shared" ca="1" si="13"/>
        <v>novembre</v>
      </c>
      <c r="X43" s="347">
        <f t="shared" ca="1" si="17"/>
        <v>46326</v>
      </c>
      <c r="Y43" s="452" t="str">
        <f t="shared" ca="1" si="14"/>
        <v>Sam. novembre , 2026</v>
      </c>
      <c r="Z43" s="143">
        <f t="shared" ca="1" si="4"/>
        <v>30</v>
      </c>
      <c r="AA43" s="348">
        <f t="shared" ca="1" si="5"/>
        <v>11</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Sam</v>
      </c>
      <c r="U44" s="186" t="str">
        <f t="shared" ca="1" si="13"/>
        <v>novembre</v>
      </c>
      <c r="X44" s="347">
        <f t="shared" ca="1" si="17"/>
        <v>46326</v>
      </c>
      <c r="Y44" s="452" t="str">
        <f t="shared" ca="1" si="14"/>
        <v>Sam. novembre , 2026</v>
      </c>
      <c r="Z44" s="143">
        <f t="shared" ca="1" si="4"/>
        <v>30</v>
      </c>
      <c r="AA44" s="348">
        <f t="shared" ca="1" si="5"/>
        <v>11</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Sam</v>
      </c>
      <c r="U45" s="186" t="str">
        <f t="shared" ca="1" si="13"/>
        <v>novembre</v>
      </c>
      <c r="X45" s="347">
        <f t="shared" ca="1" si="17"/>
        <v>46326</v>
      </c>
      <c r="Y45" s="452" t="str">
        <f t="shared" ca="1" si="14"/>
        <v>Sam. novembre , 2026</v>
      </c>
      <c r="Z45" s="143">
        <f t="shared" ca="1" si="4"/>
        <v>30</v>
      </c>
      <c r="AA45" s="348">
        <f t="shared" ca="1" si="5"/>
        <v>11</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Sam</v>
      </c>
      <c r="U46" s="186" t="str">
        <f t="shared" ca="1" si="13"/>
        <v>novembre</v>
      </c>
      <c r="X46" s="347">
        <f t="shared" ca="1" si="17"/>
        <v>46326</v>
      </c>
      <c r="Y46" s="452" t="str">
        <f t="shared" ca="1" si="14"/>
        <v>Sam. novembre , 2026</v>
      </c>
      <c r="Z46" s="143">
        <f t="shared" ca="1" si="4"/>
        <v>30</v>
      </c>
      <c r="AA46" s="348">
        <f t="shared" ca="1" si="5"/>
        <v>11</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Sam</v>
      </c>
      <c r="U47" s="186" t="str">
        <f t="shared" ca="1" si="13"/>
        <v>novembre</v>
      </c>
      <c r="X47" s="347">
        <f t="shared" ca="1" si="17"/>
        <v>46326</v>
      </c>
      <c r="Y47" s="452" t="str">
        <f t="shared" ca="1" si="14"/>
        <v>Sam. novembre , 2026</v>
      </c>
      <c r="Z47" s="143">
        <f t="shared" ca="1" si="4"/>
        <v>30</v>
      </c>
      <c r="AA47" s="348">
        <f t="shared" ca="1" si="5"/>
        <v>11</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Sam</v>
      </c>
      <c r="U48" s="186" t="str">
        <f t="shared" ca="1" si="13"/>
        <v>novembre</v>
      </c>
      <c r="X48" s="347">
        <f t="shared" ca="1" si="17"/>
        <v>46326</v>
      </c>
      <c r="Y48" s="452" t="str">
        <f t="shared" ca="1" si="14"/>
        <v>Sam. novembre , 2026</v>
      </c>
      <c r="Z48" s="143">
        <f t="shared" ca="1" si="4"/>
        <v>30</v>
      </c>
      <c r="AA48" s="348">
        <f t="shared" ca="1" si="5"/>
        <v>11</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Sam</v>
      </c>
      <c r="U49" s="186" t="str">
        <f t="shared" ca="1" si="13"/>
        <v>novembre</v>
      </c>
      <c r="X49" s="347">
        <f t="shared" ca="1" si="17"/>
        <v>46326</v>
      </c>
      <c r="Y49" s="452" t="str">
        <f t="shared" ca="1" si="14"/>
        <v>Sam. novembre , 2026</v>
      </c>
      <c r="Z49" s="143">
        <f t="shared" ca="1" si="4"/>
        <v>30</v>
      </c>
      <c r="AA49" s="348">
        <f t="shared" ca="1" si="5"/>
        <v>11</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Sam</v>
      </c>
      <c r="U50" s="186" t="str">
        <f t="shared" ca="1" si="13"/>
        <v>novembre</v>
      </c>
      <c r="X50" s="347">
        <f t="shared" ca="1" si="17"/>
        <v>46326</v>
      </c>
      <c r="Y50" s="452" t="str">
        <f t="shared" ca="1" si="14"/>
        <v>Sam. novembre , 2026</v>
      </c>
      <c r="Z50" s="143">
        <f t="shared" ca="1" si="4"/>
        <v>30</v>
      </c>
      <c r="AA50" s="348">
        <f t="shared" ca="1" si="5"/>
        <v>11</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Sam</v>
      </c>
      <c r="U51" s="186" t="str">
        <f t="shared" ca="1" si="13"/>
        <v>novembre</v>
      </c>
      <c r="X51" s="347">
        <f t="shared" ca="1" si="17"/>
        <v>46326</v>
      </c>
      <c r="Y51" s="452" t="str">
        <f t="shared" ca="1" si="14"/>
        <v>Sam. novembre , 2026</v>
      </c>
      <c r="Z51" s="143">
        <f t="shared" ca="1" si="4"/>
        <v>30</v>
      </c>
      <c r="AA51" s="348">
        <f t="shared" ca="1" si="5"/>
        <v>11</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Sam</v>
      </c>
      <c r="U52" s="186" t="str">
        <f t="shared" ca="1" si="13"/>
        <v>novembre</v>
      </c>
      <c r="X52" s="347">
        <f t="shared" ca="1" si="17"/>
        <v>46326</v>
      </c>
      <c r="Y52" s="452" t="str">
        <f t="shared" ca="1" si="14"/>
        <v>Sam. novembre , 2026</v>
      </c>
      <c r="Z52" s="143">
        <f t="shared" ca="1" si="4"/>
        <v>30</v>
      </c>
      <c r="AA52" s="348">
        <f t="shared" ca="1" si="5"/>
        <v>11</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Sam</v>
      </c>
      <c r="U53" s="186" t="str">
        <f t="shared" ca="1" si="13"/>
        <v>novembre</v>
      </c>
      <c r="X53" s="347">
        <f t="shared" ca="1" si="17"/>
        <v>46326</v>
      </c>
      <c r="Y53" s="452" t="str">
        <f t="shared" ca="1" si="14"/>
        <v>Sam. novembre , 2026</v>
      </c>
      <c r="Z53" s="143">
        <f t="shared" ca="1" si="4"/>
        <v>30</v>
      </c>
      <c r="AA53" s="348">
        <f t="shared" ca="1" si="5"/>
        <v>11</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Sam</v>
      </c>
      <c r="U54" s="186" t="str">
        <f t="shared" ca="1" si="13"/>
        <v>novembre</v>
      </c>
      <c r="X54" s="347">
        <f t="shared" ca="1" si="17"/>
        <v>46326</v>
      </c>
      <c r="Y54" s="452" t="str">
        <f t="shared" ca="1" si="14"/>
        <v>Sam. novembre , 2026</v>
      </c>
      <c r="Z54" s="143">
        <f t="shared" ca="1" si="4"/>
        <v>30</v>
      </c>
      <c r="AA54" s="348">
        <f t="shared" ca="1" si="5"/>
        <v>11</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Sam</v>
      </c>
      <c r="U55" s="186" t="str">
        <f t="shared" ca="1" si="13"/>
        <v>novembre</v>
      </c>
      <c r="X55" s="347">
        <f t="shared" ca="1" si="17"/>
        <v>46326</v>
      </c>
      <c r="Y55" s="452" t="str">
        <f t="shared" ca="1" si="14"/>
        <v>Sam. novembre , 2026</v>
      </c>
      <c r="Z55" s="143">
        <f t="shared" ca="1" si="4"/>
        <v>30</v>
      </c>
      <c r="AA55" s="348">
        <f t="shared" ca="1" si="5"/>
        <v>11</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Sam</v>
      </c>
      <c r="U56" s="186" t="str">
        <f t="shared" ca="1" si="13"/>
        <v>novembre</v>
      </c>
      <c r="X56" s="347">
        <f t="shared" ca="1" si="17"/>
        <v>46326</v>
      </c>
      <c r="Y56" s="452" t="str">
        <f t="shared" ca="1" si="14"/>
        <v>Sam. novembre , 2026</v>
      </c>
      <c r="Z56" s="143">
        <f t="shared" ca="1" si="4"/>
        <v>30</v>
      </c>
      <c r="AA56" s="348">
        <f t="shared" ca="1" si="5"/>
        <v>11</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Sam</v>
      </c>
      <c r="U57" s="186" t="str">
        <f t="shared" ca="1" si="13"/>
        <v>novembre</v>
      </c>
      <c r="X57" s="347">
        <f t="shared" ca="1" si="17"/>
        <v>46326</v>
      </c>
      <c r="Y57" s="452" t="str">
        <f t="shared" ca="1" si="14"/>
        <v>Sam. novembre , 2026</v>
      </c>
      <c r="Z57" s="143">
        <f t="shared" ca="1" si="4"/>
        <v>30</v>
      </c>
      <c r="AA57" s="348">
        <f t="shared" ca="1" si="5"/>
        <v>11</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Sam</v>
      </c>
      <c r="U58" s="186" t="str">
        <f t="shared" ca="1" si="13"/>
        <v>novembre</v>
      </c>
      <c r="X58" s="347">
        <f t="shared" ca="1" si="17"/>
        <v>46326</v>
      </c>
      <c r="Y58" s="452" t="str">
        <f t="shared" ca="1" si="14"/>
        <v>Sam. novembre , 2026</v>
      </c>
      <c r="Z58" s="143">
        <f t="shared" ca="1" si="4"/>
        <v>30</v>
      </c>
      <c r="AA58" s="348">
        <f t="shared" ca="1" si="5"/>
        <v>11</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Sam</v>
      </c>
      <c r="U59" s="186" t="str">
        <f t="shared" ca="1" si="13"/>
        <v>novembre</v>
      </c>
      <c r="X59" s="347">
        <f t="shared" ca="1" si="17"/>
        <v>46326</v>
      </c>
      <c r="Y59" s="452" t="str">
        <f t="shared" ca="1" si="14"/>
        <v>Sam. novembre , 2026</v>
      </c>
      <c r="Z59" s="143">
        <f t="shared" ca="1" si="4"/>
        <v>30</v>
      </c>
      <c r="AA59" s="348">
        <f t="shared" ca="1" si="5"/>
        <v>11</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Sam</v>
      </c>
      <c r="U60" s="186" t="str">
        <f t="shared" ca="1" si="13"/>
        <v>novembre</v>
      </c>
      <c r="X60" s="347">
        <f t="shared" ca="1" si="17"/>
        <v>46326</v>
      </c>
      <c r="Y60" s="452" t="str">
        <f t="shared" ca="1" si="14"/>
        <v>Sam. novembre , 2026</v>
      </c>
      <c r="Z60" s="143">
        <f t="shared" ca="1" si="4"/>
        <v>30</v>
      </c>
      <c r="AA60" s="348">
        <f t="shared" ca="1" si="5"/>
        <v>11</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Sam</v>
      </c>
      <c r="U61" s="186" t="str">
        <f t="shared" ca="1" si="13"/>
        <v>novembre</v>
      </c>
      <c r="X61" s="347">
        <f t="shared" ca="1" si="17"/>
        <v>46326</v>
      </c>
      <c r="Y61" s="452" t="str">
        <f t="shared" ca="1" si="14"/>
        <v>Sam. novembre , 2026</v>
      </c>
      <c r="Z61" s="143">
        <f t="shared" ca="1" si="4"/>
        <v>30</v>
      </c>
      <c r="AA61" s="348">
        <f t="shared" ca="1" si="5"/>
        <v>11</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Sam</v>
      </c>
      <c r="U62" s="186" t="str">
        <f t="shared" ca="1" si="13"/>
        <v>novembre</v>
      </c>
      <c r="X62" s="347">
        <f t="shared" ca="1" si="17"/>
        <v>46326</v>
      </c>
      <c r="Y62" s="452" t="str">
        <f t="shared" ca="1" si="14"/>
        <v>Sam. novembre , 2026</v>
      </c>
      <c r="Z62" s="143">
        <f t="shared" ca="1" si="4"/>
        <v>30</v>
      </c>
      <c r="AA62" s="348">
        <f t="shared" ca="1" si="5"/>
        <v>11</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Sam</v>
      </c>
      <c r="U63" s="186" t="str">
        <f t="shared" ca="1" si="13"/>
        <v>novembre</v>
      </c>
      <c r="X63" s="347">
        <f t="shared" ca="1" si="17"/>
        <v>46326</v>
      </c>
      <c r="Y63" s="452" t="str">
        <f t="shared" ca="1" si="14"/>
        <v>Sam. novembre , 2026</v>
      </c>
      <c r="Z63" s="143">
        <f t="shared" ca="1" si="4"/>
        <v>30</v>
      </c>
      <c r="AA63" s="348">
        <f t="shared" ca="1" si="5"/>
        <v>11</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Sam</v>
      </c>
      <c r="U64" s="186" t="str">
        <f t="shared" ca="1" si="13"/>
        <v>novembre</v>
      </c>
      <c r="X64" s="347">
        <f t="shared" ca="1" si="17"/>
        <v>46326</v>
      </c>
      <c r="Y64" s="452" t="str">
        <f t="shared" ca="1" si="14"/>
        <v>Sam. novembre , 2026</v>
      </c>
      <c r="Z64" s="143">
        <f t="shared" ca="1" si="4"/>
        <v>30</v>
      </c>
      <c r="AA64" s="348">
        <f t="shared" ca="1" si="5"/>
        <v>11</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Sam</v>
      </c>
      <c r="U65" s="186" t="str">
        <f t="shared" ca="1" si="13"/>
        <v>novembre</v>
      </c>
      <c r="X65" s="347">
        <f t="shared" ca="1" si="17"/>
        <v>46326</v>
      </c>
      <c r="Y65" s="452" t="str">
        <f t="shared" ca="1" si="14"/>
        <v>Sam. novembre , 2026</v>
      </c>
      <c r="Z65" s="143">
        <f t="shared" ca="1" si="4"/>
        <v>30</v>
      </c>
      <c r="AA65" s="348">
        <f t="shared" ca="1" si="5"/>
        <v>11</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Sam</v>
      </c>
      <c r="U66" s="186" t="str">
        <f t="shared" ca="1" si="13"/>
        <v>novembre</v>
      </c>
      <c r="X66" s="347">
        <f t="shared" ca="1" si="17"/>
        <v>46326</v>
      </c>
      <c r="Y66" s="452" t="str">
        <f t="shared" ca="1" si="14"/>
        <v>Sam. novembre , 2026</v>
      </c>
      <c r="Z66" s="143">
        <f t="shared" ca="1" si="4"/>
        <v>30</v>
      </c>
      <c r="AA66" s="348">
        <f t="shared" ca="1" si="5"/>
        <v>11</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Sam</v>
      </c>
      <c r="U67" s="186" t="str">
        <f t="shared" ca="1" si="13"/>
        <v>novembre</v>
      </c>
      <c r="X67" s="347">
        <f t="shared" ca="1" si="17"/>
        <v>46326</v>
      </c>
      <c r="Y67" s="452" t="str">
        <f t="shared" ca="1" si="14"/>
        <v>Sam. novembre , 2026</v>
      </c>
      <c r="Z67" s="143">
        <f t="shared" ca="1" si="4"/>
        <v>30</v>
      </c>
      <c r="AA67" s="348">
        <f t="shared" ca="1" si="5"/>
        <v>11</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Sam</v>
      </c>
      <c r="U68" s="186" t="str">
        <f t="shared" ca="1" si="13"/>
        <v>novembre</v>
      </c>
      <c r="X68" s="347">
        <f t="shared" ca="1" si="17"/>
        <v>46326</v>
      </c>
      <c r="Y68" s="452" t="str">
        <f t="shared" ca="1" si="14"/>
        <v>Sam. novembre , 2026</v>
      </c>
      <c r="Z68" s="143">
        <f t="shared" ca="1" si="4"/>
        <v>30</v>
      </c>
      <c r="AA68" s="348">
        <f t="shared" ca="1" si="5"/>
        <v>11</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Sam</v>
      </c>
      <c r="U69" s="186" t="str">
        <f t="shared" ca="1" si="13"/>
        <v>novembre</v>
      </c>
      <c r="X69" s="347">
        <f t="shared" ca="1" si="17"/>
        <v>46326</v>
      </c>
      <c r="Y69" s="452" t="str">
        <f t="shared" ca="1" si="14"/>
        <v>Sam. novembre , 2026</v>
      </c>
      <c r="Z69" s="143">
        <f t="shared" ca="1" si="4"/>
        <v>30</v>
      </c>
      <c r="AA69" s="348">
        <f t="shared" ca="1" si="5"/>
        <v>11</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Sam</v>
      </c>
      <c r="U70" s="186" t="str">
        <f t="shared" ca="1" si="13"/>
        <v>novembre</v>
      </c>
      <c r="X70" s="347">
        <f t="shared" ca="1" si="17"/>
        <v>46326</v>
      </c>
      <c r="Y70" s="452" t="str">
        <f t="shared" ca="1" si="14"/>
        <v>Sam. novembre , 2026</v>
      </c>
      <c r="Z70" s="143">
        <f t="shared" ca="1" si="4"/>
        <v>30</v>
      </c>
      <c r="AA70" s="348">
        <f t="shared" ca="1" si="5"/>
        <v>11</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Sam</v>
      </c>
      <c r="U71" s="186" t="str">
        <f t="shared" ca="1" si="13"/>
        <v>novembre</v>
      </c>
      <c r="X71" s="347">
        <f t="shared" ca="1" si="17"/>
        <v>46326</v>
      </c>
      <c r="Y71" s="452" t="str">
        <f t="shared" ca="1" si="14"/>
        <v>Sam. novembre , 2026</v>
      </c>
      <c r="Z71" s="143">
        <f t="shared" ca="1" si="4"/>
        <v>30</v>
      </c>
      <c r="AA71" s="348">
        <f t="shared" ca="1" si="5"/>
        <v>11</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Sam</v>
      </c>
      <c r="U72" s="186" t="str">
        <f t="shared" ca="1" si="13"/>
        <v>novembre</v>
      </c>
      <c r="X72" s="347">
        <f t="shared" ca="1" si="17"/>
        <v>46326</v>
      </c>
      <c r="Y72" s="452" t="str">
        <f t="shared" ca="1" si="14"/>
        <v>Sam. novembre , 2026</v>
      </c>
      <c r="Z72" s="143">
        <f t="shared" ca="1" si="4"/>
        <v>30</v>
      </c>
      <c r="AA72" s="348">
        <f t="shared" ca="1" si="5"/>
        <v>11</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Sam</v>
      </c>
      <c r="U73" s="186" t="str">
        <f t="shared" ca="1" si="13"/>
        <v>novembre</v>
      </c>
      <c r="X73" s="347">
        <f t="shared" ca="1" si="17"/>
        <v>46326</v>
      </c>
      <c r="Y73" s="452" t="str">
        <f t="shared" ca="1" si="14"/>
        <v>Sam. novembre , 2026</v>
      </c>
      <c r="Z73" s="143">
        <f t="shared" ca="1" si="4"/>
        <v>30</v>
      </c>
      <c r="AA73" s="348">
        <f t="shared" ca="1" si="5"/>
        <v>11</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Sam</v>
      </c>
      <c r="U74" s="186" t="str">
        <f t="shared" ca="1" si="13"/>
        <v>novembre</v>
      </c>
      <c r="X74" s="347">
        <f t="shared" ca="1" si="17"/>
        <v>46326</v>
      </c>
      <c r="Y74" s="452" t="str">
        <f t="shared" ca="1" si="14"/>
        <v>Sam. novembre , 2026</v>
      </c>
      <c r="Z74" s="143">
        <f t="shared" ca="1" si="4"/>
        <v>30</v>
      </c>
      <c r="AA74" s="348">
        <f t="shared" ca="1" si="5"/>
        <v>11</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Sam</v>
      </c>
      <c r="U75" s="186" t="str">
        <f t="shared" ca="1" si="13"/>
        <v>novembre</v>
      </c>
      <c r="X75" s="347">
        <f t="shared" ca="1" si="17"/>
        <v>46326</v>
      </c>
      <c r="Y75" s="452" t="str">
        <f t="shared" ca="1" si="14"/>
        <v>Sam. novembre , 2026</v>
      </c>
      <c r="Z75" s="143">
        <f t="shared" ca="1" si="4"/>
        <v>30</v>
      </c>
      <c r="AA75" s="348">
        <f t="shared" ca="1" si="5"/>
        <v>11</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Sam</v>
      </c>
      <c r="U76" s="186" t="str">
        <f t="shared" ca="1" si="13"/>
        <v>novembre</v>
      </c>
      <c r="X76" s="347">
        <f t="shared" ca="1" si="17"/>
        <v>46326</v>
      </c>
      <c r="Y76" s="452" t="str">
        <f t="shared" ca="1" si="14"/>
        <v>Sam. novembre , 2026</v>
      </c>
      <c r="Z76" s="143">
        <f t="shared" ca="1" si="4"/>
        <v>30</v>
      </c>
      <c r="AA76" s="348">
        <f t="shared" ca="1" si="5"/>
        <v>11</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Sam</v>
      </c>
      <c r="U77" s="186" t="str">
        <f t="shared" ca="1" si="13"/>
        <v>novembre</v>
      </c>
      <c r="X77" s="347">
        <f t="shared" ca="1" si="17"/>
        <v>46326</v>
      </c>
      <c r="Y77" s="452" t="str">
        <f t="shared" ca="1" si="14"/>
        <v>Sam. novembre , 2026</v>
      </c>
      <c r="Z77" s="143">
        <f t="shared" ca="1" si="4"/>
        <v>30</v>
      </c>
      <c r="AA77" s="348">
        <f t="shared" ca="1" si="5"/>
        <v>11</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Sam</v>
      </c>
      <c r="U78" s="186" t="str">
        <f t="shared" ca="1" si="13"/>
        <v>novembre</v>
      </c>
      <c r="X78" s="347">
        <f t="shared" ca="1" si="17"/>
        <v>46326</v>
      </c>
      <c r="Y78" s="452" t="str">
        <f t="shared" ca="1" si="14"/>
        <v>Sam. novembre , 2026</v>
      </c>
      <c r="Z78" s="143">
        <f t="shared" ca="1" si="4"/>
        <v>30</v>
      </c>
      <c r="AA78" s="348">
        <f t="shared" ca="1" si="5"/>
        <v>11</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Sam</v>
      </c>
      <c r="U79" s="186" t="str">
        <f t="shared" ca="1" si="13"/>
        <v>novembre</v>
      </c>
      <c r="X79" s="347">
        <f t="shared" ca="1" si="17"/>
        <v>46326</v>
      </c>
      <c r="Y79" s="452" t="str">
        <f t="shared" ca="1" si="14"/>
        <v>Sam. novembre , 2026</v>
      </c>
      <c r="Z79" s="143">
        <f t="shared" ca="1" si="4"/>
        <v>30</v>
      </c>
      <c r="AA79" s="348">
        <f t="shared" ca="1" si="5"/>
        <v>11</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Sam</v>
      </c>
      <c r="U80" s="186" t="str">
        <f t="shared" ca="1" si="13"/>
        <v>novembre</v>
      </c>
      <c r="X80" s="347">
        <f t="shared" ca="1" si="17"/>
        <v>46326</v>
      </c>
      <c r="Y80" s="452" t="str">
        <f t="shared" ca="1" si="14"/>
        <v>Sam. novembre , 2026</v>
      </c>
      <c r="Z80" s="143">
        <f t="shared" ca="1" si="4"/>
        <v>30</v>
      </c>
      <c r="AA80" s="348">
        <f t="shared" ca="1" si="5"/>
        <v>11</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Sam</v>
      </c>
      <c r="U81" s="186" t="str">
        <f t="shared" ca="1" si="13"/>
        <v>novembre</v>
      </c>
      <c r="X81" s="347">
        <f t="shared" ca="1" si="17"/>
        <v>46326</v>
      </c>
      <c r="Y81" s="452" t="str">
        <f t="shared" ca="1" si="14"/>
        <v>Sam. novembre , 2026</v>
      </c>
      <c r="Z81" s="143">
        <f t="shared" ca="1" si="4"/>
        <v>30</v>
      </c>
      <c r="AA81" s="348">
        <f t="shared" ca="1" si="5"/>
        <v>11</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Sam</v>
      </c>
      <c r="U82" s="186" t="str">
        <f t="shared" ca="1" si="13"/>
        <v>novembre</v>
      </c>
      <c r="X82" s="347">
        <f t="shared" ca="1" si="17"/>
        <v>46326</v>
      </c>
      <c r="Y82" s="452" t="str">
        <f t="shared" ca="1" si="14"/>
        <v>Sam. novembre , 2026</v>
      </c>
      <c r="Z82" s="143">
        <f t="shared" ca="1" si="4"/>
        <v>30</v>
      </c>
      <c r="AA82" s="348">
        <f t="shared" ca="1" si="5"/>
        <v>11</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Sam</v>
      </c>
      <c r="U83" s="186" t="str">
        <f t="shared" ca="1" si="13"/>
        <v>novembre</v>
      </c>
      <c r="X83" s="347">
        <f t="shared" ca="1" si="17"/>
        <v>46326</v>
      </c>
      <c r="Y83" s="452" t="str">
        <f t="shared" ca="1" si="14"/>
        <v>Sam. novembre , 2026</v>
      </c>
      <c r="Z83" s="143">
        <f t="shared" ca="1" si="4"/>
        <v>30</v>
      </c>
      <c r="AA83" s="348">
        <f t="shared" ca="1" si="5"/>
        <v>11</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Sam</v>
      </c>
      <c r="U84" s="186" t="str">
        <f t="shared" ca="1" si="13"/>
        <v>novembre</v>
      </c>
      <c r="X84" s="347">
        <f t="shared" ca="1" si="17"/>
        <v>46326</v>
      </c>
      <c r="Y84" s="452" t="str">
        <f t="shared" ca="1" si="14"/>
        <v>Sam. novembre , 2026</v>
      </c>
      <c r="Z84" s="143">
        <f t="shared" ref="Z84:Z147" ca="1" si="24">MIN(R84,$AF$5)</f>
        <v>30</v>
      </c>
      <c r="AA84" s="348">
        <f t="shared" ref="AA84:AA147" ca="1" si="25">$AD$6</f>
        <v>11</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Sam</v>
      </c>
      <c r="U85" s="186" t="str">
        <f t="shared" ref="U85:U148" ca="1" si="32">$U$19</f>
        <v>novembre</v>
      </c>
      <c r="X85" s="347">
        <f t="shared" ca="1" si="17"/>
        <v>46326</v>
      </c>
      <c r="Y85" s="452" t="str">
        <f t="shared" ref="Y85:Y148" ca="1" si="33">IF(Y79="f",T85&amp;". "&amp;" "&amp;R85&amp;" "&amp;U85&amp;" "&amp;$AE$7,T85&amp;". "&amp;U85&amp;" "&amp;R85&amp;", "&amp;$AE$7)</f>
        <v>Sam. novembre , 2026</v>
      </c>
      <c r="Z85" s="143">
        <f t="shared" ca="1" si="24"/>
        <v>30</v>
      </c>
      <c r="AA85" s="348">
        <f t="shared" ca="1" si="25"/>
        <v>11</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Sam</v>
      </c>
      <c r="U86" s="186" t="str">
        <f t="shared" ca="1" si="32"/>
        <v>novembre</v>
      </c>
      <c r="X86" s="347">
        <f t="shared" ref="X86:X149" ca="1" si="36">$AE$8+D86</f>
        <v>46326</v>
      </c>
      <c r="Y86" s="452" t="str">
        <f t="shared" ca="1" si="33"/>
        <v>Sam. novembre , 2026</v>
      </c>
      <c r="Z86" s="143">
        <f t="shared" ca="1" si="24"/>
        <v>30</v>
      </c>
      <c r="AA86" s="348">
        <f t="shared" ca="1" si="25"/>
        <v>11</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Sam</v>
      </c>
      <c r="U87" s="186" t="str">
        <f t="shared" ca="1" si="32"/>
        <v>novembre</v>
      </c>
      <c r="X87" s="347">
        <f t="shared" ca="1" si="36"/>
        <v>46326</v>
      </c>
      <c r="Y87" s="452" t="str">
        <f t="shared" ca="1" si="33"/>
        <v>Sam. novembre , 2026</v>
      </c>
      <c r="Z87" s="143">
        <f t="shared" ca="1" si="24"/>
        <v>30</v>
      </c>
      <c r="AA87" s="348">
        <f t="shared" ca="1" si="25"/>
        <v>11</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Sam</v>
      </c>
      <c r="U88" s="186" t="str">
        <f t="shared" ca="1" si="32"/>
        <v>novembre</v>
      </c>
      <c r="X88" s="347">
        <f t="shared" ca="1" si="36"/>
        <v>46326</v>
      </c>
      <c r="Y88" s="452" t="str">
        <f t="shared" ca="1" si="33"/>
        <v>Sam. novembre , 2026</v>
      </c>
      <c r="Z88" s="143">
        <f t="shared" ca="1" si="24"/>
        <v>30</v>
      </c>
      <c r="AA88" s="348">
        <f t="shared" ca="1" si="25"/>
        <v>11</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Sam</v>
      </c>
      <c r="U89" s="186" t="str">
        <f t="shared" ca="1" si="32"/>
        <v>novembre</v>
      </c>
      <c r="X89" s="347">
        <f t="shared" ca="1" si="36"/>
        <v>46326</v>
      </c>
      <c r="Y89" s="452" t="str">
        <f t="shared" ca="1" si="33"/>
        <v>Sam. novembre , 2026</v>
      </c>
      <c r="Z89" s="143">
        <f t="shared" ca="1" si="24"/>
        <v>30</v>
      </c>
      <c r="AA89" s="348">
        <f t="shared" ca="1" si="25"/>
        <v>11</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Sam</v>
      </c>
      <c r="U90" s="186" t="str">
        <f t="shared" ca="1" si="32"/>
        <v>novembre</v>
      </c>
      <c r="X90" s="347">
        <f t="shared" ca="1" si="36"/>
        <v>46326</v>
      </c>
      <c r="Y90" s="452" t="str">
        <f t="shared" ca="1" si="33"/>
        <v>Sam. novembre , 2026</v>
      </c>
      <c r="Z90" s="143">
        <f t="shared" ca="1" si="24"/>
        <v>30</v>
      </c>
      <c r="AA90" s="348">
        <f t="shared" ca="1" si="25"/>
        <v>11</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Sam</v>
      </c>
      <c r="U91" s="186" t="str">
        <f t="shared" ca="1" si="32"/>
        <v>novembre</v>
      </c>
      <c r="X91" s="347">
        <f t="shared" ca="1" si="36"/>
        <v>46326</v>
      </c>
      <c r="Y91" s="452" t="str">
        <f t="shared" ca="1" si="33"/>
        <v>Sam. novembre , 2026</v>
      </c>
      <c r="Z91" s="143">
        <f t="shared" ca="1" si="24"/>
        <v>30</v>
      </c>
      <c r="AA91" s="348">
        <f t="shared" ca="1" si="25"/>
        <v>11</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Sam</v>
      </c>
      <c r="U92" s="186" t="str">
        <f t="shared" ca="1" si="32"/>
        <v>novembre</v>
      </c>
      <c r="X92" s="347">
        <f t="shared" ca="1" si="36"/>
        <v>46326</v>
      </c>
      <c r="Y92" s="452" t="str">
        <f t="shared" ca="1" si="33"/>
        <v>Sam. novembre , 2026</v>
      </c>
      <c r="Z92" s="143">
        <f t="shared" ca="1" si="24"/>
        <v>30</v>
      </c>
      <c r="AA92" s="348">
        <f t="shared" ca="1" si="25"/>
        <v>11</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Sam</v>
      </c>
      <c r="U93" s="186" t="str">
        <f t="shared" ca="1" si="32"/>
        <v>novembre</v>
      </c>
      <c r="X93" s="347">
        <f t="shared" ca="1" si="36"/>
        <v>46326</v>
      </c>
      <c r="Y93" s="452" t="str">
        <f t="shared" ca="1" si="33"/>
        <v>Sam. novembre , 2026</v>
      </c>
      <c r="Z93" s="143">
        <f t="shared" ca="1" si="24"/>
        <v>30</v>
      </c>
      <c r="AA93" s="348">
        <f t="shared" ca="1" si="25"/>
        <v>11</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Sam</v>
      </c>
      <c r="U94" s="186" t="str">
        <f t="shared" ca="1" si="32"/>
        <v>novembre</v>
      </c>
      <c r="X94" s="347">
        <f t="shared" ca="1" si="36"/>
        <v>46326</v>
      </c>
      <c r="Y94" s="452" t="str">
        <f t="shared" ca="1" si="33"/>
        <v>Sam. novembre , 2026</v>
      </c>
      <c r="Z94" s="143">
        <f t="shared" ca="1" si="24"/>
        <v>30</v>
      </c>
      <c r="AA94" s="348">
        <f t="shared" ca="1" si="25"/>
        <v>11</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Sam</v>
      </c>
      <c r="U95" s="186" t="str">
        <f t="shared" ca="1" si="32"/>
        <v>novembre</v>
      </c>
      <c r="X95" s="347">
        <f t="shared" ca="1" si="36"/>
        <v>46326</v>
      </c>
      <c r="Y95" s="452" t="str">
        <f t="shared" ca="1" si="33"/>
        <v>Sam. novembre , 2026</v>
      </c>
      <c r="Z95" s="143">
        <f t="shared" ca="1" si="24"/>
        <v>30</v>
      </c>
      <c r="AA95" s="348">
        <f t="shared" ca="1" si="25"/>
        <v>11</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Sam</v>
      </c>
      <c r="U96" s="186" t="str">
        <f t="shared" ca="1" si="32"/>
        <v>novembre</v>
      </c>
      <c r="X96" s="347">
        <f t="shared" ca="1" si="36"/>
        <v>46326</v>
      </c>
      <c r="Y96" s="452" t="str">
        <f t="shared" ca="1" si="33"/>
        <v>Sam. novembre , 2026</v>
      </c>
      <c r="Z96" s="143">
        <f t="shared" ca="1" si="24"/>
        <v>30</v>
      </c>
      <c r="AA96" s="348">
        <f t="shared" ca="1" si="25"/>
        <v>11</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Sam</v>
      </c>
      <c r="U97" s="186" t="str">
        <f t="shared" ca="1" si="32"/>
        <v>novembre</v>
      </c>
      <c r="X97" s="347">
        <f t="shared" ca="1" si="36"/>
        <v>46326</v>
      </c>
      <c r="Y97" s="452" t="str">
        <f t="shared" ca="1" si="33"/>
        <v>Sam. novembre , 2026</v>
      </c>
      <c r="Z97" s="143">
        <f t="shared" ca="1" si="24"/>
        <v>30</v>
      </c>
      <c r="AA97" s="348">
        <f t="shared" ca="1" si="25"/>
        <v>11</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Sam</v>
      </c>
      <c r="U98" s="186" t="str">
        <f t="shared" ca="1" si="32"/>
        <v>novembre</v>
      </c>
      <c r="X98" s="347">
        <f t="shared" ca="1" si="36"/>
        <v>46326</v>
      </c>
      <c r="Y98" s="452" t="str">
        <f t="shared" ca="1" si="33"/>
        <v>Sam. novembre , 2026</v>
      </c>
      <c r="Z98" s="143">
        <f t="shared" ca="1" si="24"/>
        <v>30</v>
      </c>
      <c r="AA98" s="348">
        <f t="shared" ca="1" si="25"/>
        <v>11</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Sam</v>
      </c>
      <c r="U99" s="186" t="str">
        <f t="shared" ca="1" si="32"/>
        <v>novembre</v>
      </c>
      <c r="X99" s="347">
        <f t="shared" ca="1" si="36"/>
        <v>46326</v>
      </c>
      <c r="Y99" s="452" t="str">
        <f t="shared" ca="1" si="33"/>
        <v>Sam. novembre , 2026</v>
      </c>
      <c r="Z99" s="143">
        <f t="shared" ca="1" si="24"/>
        <v>30</v>
      </c>
      <c r="AA99" s="348">
        <f t="shared" ca="1" si="25"/>
        <v>11</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Sam</v>
      </c>
      <c r="U100" s="186" t="str">
        <f t="shared" ca="1" si="32"/>
        <v>novembre</v>
      </c>
      <c r="X100" s="347">
        <f t="shared" ca="1" si="36"/>
        <v>46326</v>
      </c>
      <c r="Y100" s="452" t="str">
        <f t="shared" ca="1" si="33"/>
        <v>Sam. novembre , 2026</v>
      </c>
      <c r="Z100" s="143">
        <f t="shared" ca="1" si="24"/>
        <v>30</v>
      </c>
      <c r="AA100" s="348">
        <f t="shared" ca="1" si="25"/>
        <v>11</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Sam</v>
      </c>
      <c r="U101" s="186" t="str">
        <f t="shared" ca="1" si="32"/>
        <v>novembre</v>
      </c>
      <c r="X101" s="347">
        <f t="shared" ca="1" si="36"/>
        <v>46326</v>
      </c>
      <c r="Y101" s="452" t="str">
        <f t="shared" ca="1" si="33"/>
        <v>Sam. novembre , 2026</v>
      </c>
      <c r="Z101" s="143">
        <f t="shared" ca="1" si="24"/>
        <v>30</v>
      </c>
      <c r="AA101" s="348">
        <f t="shared" ca="1" si="25"/>
        <v>11</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Sam</v>
      </c>
      <c r="U102" s="186" t="str">
        <f t="shared" ca="1" si="32"/>
        <v>novembre</v>
      </c>
      <c r="X102" s="347">
        <f t="shared" ca="1" si="36"/>
        <v>46326</v>
      </c>
      <c r="Y102" s="452" t="str">
        <f t="shared" ca="1" si="33"/>
        <v>Sam. novembre , 2026</v>
      </c>
      <c r="Z102" s="143">
        <f t="shared" ca="1" si="24"/>
        <v>30</v>
      </c>
      <c r="AA102" s="348">
        <f t="shared" ca="1" si="25"/>
        <v>11</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Sam</v>
      </c>
      <c r="U103" s="186" t="str">
        <f t="shared" ca="1" si="32"/>
        <v>novembre</v>
      </c>
      <c r="X103" s="347">
        <f t="shared" ca="1" si="36"/>
        <v>46326</v>
      </c>
      <c r="Y103" s="452" t="str">
        <f t="shared" ca="1" si="33"/>
        <v>Sam. novembre , 2026</v>
      </c>
      <c r="Z103" s="143">
        <f t="shared" ca="1" si="24"/>
        <v>30</v>
      </c>
      <c r="AA103" s="348">
        <f t="shared" ca="1" si="25"/>
        <v>11</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Sam</v>
      </c>
      <c r="U104" s="186" t="str">
        <f t="shared" ca="1" si="32"/>
        <v>novembre</v>
      </c>
      <c r="X104" s="347">
        <f t="shared" ca="1" si="36"/>
        <v>46326</v>
      </c>
      <c r="Y104" s="452" t="str">
        <f t="shared" ca="1" si="33"/>
        <v>Sam. novembre , 2026</v>
      </c>
      <c r="Z104" s="143">
        <f t="shared" ca="1" si="24"/>
        <v>30</v>
      </c>
      <c r="AA104" s="348">
        <f t="shared" ca="1" si="25"/>
        <v>11</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Sam</v>
      </c>
      <c r="U105" s="186" t="str">
        <f t="shared" ca="1" si="32"/>
        <v>novembre</v>
      </c>
      <c r="X105" s="347">
        <f t="shared" ca="1" si="36"/>
        <v>46326</v>
      </c>
      <c r="Y105" s="452" t="str">
        <f t="shared" ca="1" si="33"/>
        <v>Sam. novembre , 2026</v>
      </c>
      <c r="Z105" s="143">
        <f t="shared" ca="1" si="24"/>
        <v>30</v>
      </c>
      <c r="AA105" s="348">
        <f t="shared" ca="1" si="25"/>
        <v>11</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Sam</v>
      </c>
      <c r="U106" s="186" t="str">
        <f t="shared" ca="1" si="32"/>
        <v>novembre</v>
      </c>
      <c r="X106" s="347">
        <f t="shared" ca="1" si="36"/>
        <v>46326</v>
      </c>
      <c r="Y106" s="452" t="str">
        <f t="shared" ca="1" si="33"/>
        <v>Sam. novembre , 2026</v>
      </c>
      <c r="Z106" s="143">
        <f t="shared" ca="1" si="24"/>
        <v>30</v>
      </c>
      <c r="AA106" s="348">
        <f t="shared" ca="1" si="25"/>
        <v>11</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Sam</v>
      </c>
      <c r="U107" s="186" t="str">
        <f t="shared" ca="1" si="32"/>
        <v>novembre</v>
      </c>
      <c r="X107" s="347">
        <f t="shared" ca="1" si="36"/>
        <v>46326</v>
      </c>
      <c r="Y107" s="452" t="str">
        <f t="shared" ca="1" si="33"/>
        <v>Sam. novembre , 2026</v>
      </c>
      <c r="Z107" s="143">
        <f t="shared" ca="1" si="24"/>
        <v>30</v>
      </c>
      <c r="AA107" s="348">
        <f t="shared" ca="1" si="25"/>
        <v>11</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Sam</v>
      </c>
      <c r="U108" s="186" t="str">
        <f t="shared" ca="1" si="32"/>
        <v>novembre</v>
      </c>
      <c r="X108" s="347">
        <f t="shared" ca="1" si="36"/>
        <v>46326</v>
      </c>
      <c r="Y108" s="452" t="str">
        <f t="shared" ca="1" si="33"/>
        <v>Sam. novembre , 2026</v>
      </c>
      <c r="Z108" s="143">
        <f t="shared" ca="1" si="24"/>
        <v>30</v>
      </c>
      <c r="AA108" s="348">
        <f t="shared" ca="1" si="25"/>
        <v>11</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Sam</v>
      </c>
      <c r="U109" s="186" t="str">
        <f t="shared" ca="1" si="32"/>
        <v>novembre</v>
      </c>
      <c r="X109" s="347">
        <f t="shared" ca="1" si="36"/>
        <v>46326</v>
      </c>
      <c r="Y109" s="452" t="str">
        <f t="shared" ca="1" si="33"/>
        <v>Sam. novembre , 2026</v>
      </c>
      <c r="Z109" s="143">
        <f t="shared" ca="1" si="24"/>
        <v>30</v>
      </c>
      <c r="AA109" s="348">
        <f t="shared" ca="1" si="25"/>
        <v>11</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Sam</v>
      </c>
      <c r="U110" s="186" t="str">
        <f t="shared" ca="1" si="32"/>
        <v>novembre</v>
      </c>
      <c r="X110" s="347">
        <f t="shared" ca="1" si="36"/>
        <v>46326</v>
      </c>
      <c r="Y110" s="452" t="str">
        <f t="shared" ca="1" si="33"/>
        <v>Sam. novembre , 2026</v>
      </c>
      <c r="Z110" s="143">
        <f t="shared" ca="1" si="24"/>
        <v>30</v>
      </c>
      <c r="AA110" s="348">
        <f t="shared" ca="1" si="25"/>
        <v>11</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Sam</v>
      </c>
      <c r="U111" s="186" t="str">
        <f t="shared" ca="1" si="32"/>
        <v>novembre</v>
      </c>
      <c r="X111" s="347">
        <f t="shared" ca="1" si="36"/>
        <v>46326</v>
      </c>
      <c r="Y111" s="452" t="str">
        <f t="shared" ca="1" si="33"/>
        <v>Sam. novembre , 2026</v>
      </c>
      <c r="Z111" s="143">
        <f t="shared" ca="1" si="24"/>
        <v>30</v>
      </c>
      <c r="AA111" s="348">
        <f t="shared" ca="1" si="25"/>
        <v>11</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Sam</v>
      </c>
      <c r="U112" s="186" t="str">
        <f t="shared" ca="1" si="32"/>
        <v>novembre</v>
      </c>
      <c r="X112" s="347">
        <f t="shared" ca="1" si="36"/>
        <v>46326</v>
      </c>
      <c r="Y112" s="452" t="str">
        <f t="shared" ca="1" si="33"/>
        <v>Sam. novembre , 2026</v>
      </c>
      <c r="Z112" s="143">
        <f t="shared" ca="1" si="24"/>
        <v>30</v>
      </c>
      <c r="AA112" s="348">
        <f t="shared" ca="1" si="25"/>
        <v>11</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Sam</v>
      </c>
      <c r="U113" s="186" t="str">
        <f t="shared" ca="1" si="32"/>
        <v>novembre</v>
      </c>
      <c r="X113" s="347">
        <f t="shared" ca="1" si="36"/>
        <v>46326</v>
      </c>
      <c r="Y113" s="452" t="str">
        <f t="shared" ca="1" si="33"/>
        <v>Sam. novembre , 2026</v>
      </c>
      <c r="Z113" s="143">
        <f t="shared" ca="1" si="24"/>
        <v>30</v>
      </c>
      <c r="AA113" s="348">
        <f t="shared" ca="1" si="25"/>
        <v>11</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Sam</v>
      </c>
      <c r="U114" s="186" t="str">
        <f t="shared" ca="1" si="32"/>
        <v>novembre</v>
      </c>
      <c r="X114" s="347">
        <f t="shared" ca="1" si="36"/>
        <v>46326</v>
      </c>
      <c r="Y114" s="452" t="str">
        <f t="shared" ca="1" si="33"/>
        <v>Sam. novembre , 2026</v>
      </c>
      <c r="Z114" s="143">
        <f t="shared" ca="1" si="24"/>
        <v>30</v>
      </c>
      <c r="AA114" s="348">
        <f t="shared" ca="1" si="25"/>
        <v>11</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Sam</v>
      </c>
      <c r="U115" s="186" t="str">
        <f t="shared" ca="1" si="32"/>
        <v>novembre</v>
      </c>
      <c r="X115" s="347">
        <f t="shared" ca="1" si="36"/>
        <v>46326</v>
      </c>
      <c r="Y115" s="452" t="str">
        <f t="shared" ca="1" si="33"/>
        <v>Sam. novembre , 2026</v>
      </c>
      <c r="Z115" s="143">
        <f t="shared" ca="1" si="24"/>
        <v>30</v>
      </c>
      <c r="AA115" s="348">
        <f t="shared" ca="1" si="25"/>
        <v>11</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Sam</v>
      </c>
      <c r="U116" s="186" t="str">
        <f t="shared" ca="1" si="32"/>
        <v>novembre</v>
      </c>
      <c r="X116" s="347">
        <f t="shared" ca="1" si="36"/>
        <v>46326</v>
      </c>
      <c r="Y116" s="452" t="str">
        <f t="shared" ca="1" si="33"/>
        <v>Sam. novembre , 2026</v>
      </c>
      <c r="Z116" s="143">
        <f t="shared" ca="1" si="24"/>
        <v>30</v>
      </c>
      <c r="AA116" s="348">
        <f t="shared" ca="1" si="25"/>
        <v>11</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Sam</v>
      </c>
      <c r="U117" s="186" t="str">
        <f t="shared" ca="1" si="32"/>
        <v>novembre</v>
      </c>
      <c r="X117" s="347">
        <f t="shared" ca="1" si="36"/>
        <v>46326</v>
      </c>
      <c r="Y117" s="452" t="str">
        <f t="shared" ca="1" si="33"/>
        <v>Sam. novembre , 2026</v>
      </c>
      <c r="Z117" s="143">
        <f t="shared" ca="1" si="24"/>
        <v>30</v>
      </c>
      <c r="AA117" s="348">
        <f t="shared" ca="1" si="25"/>
        <v>11</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Sam</v>
      </c>
      <c r="U118" s="186" t="str">
        <f t="shared" ca="1" si="32"/>
        <v>novembre</v>
      </c>
      <c r="X118" s="347">
        <f t="shared" ca="1" si="36"/>
        <v>46326</v>
      </c>
      <c r="Y118" s="452" t="str">
        <f t="shared" ca="1" si="33"/>
        <v>Sam. novembre , 2026</v>
      </c>
      <c r="Z118" s="143">
        <f t="shared" ca="1" si="24"/>
        <v>30</v>
      </c>
      <c r="AA118" s="348">
        <f t="shared" ca="1" si="25"/>
        <v>11</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Sam</v>
      </c>
      <c r="U119" s="186" t="str">
        <f t="shared" ca="1" si="32"/>
        <v>novembre</v>
      </c>
      <c r="X119" s="347">
        <f t="shared" ca="1" si="36"/>
        <v>46326</v>
      </c>
      <c r="Y119" s="452" t="str">
        <f t="shared" ca="1" si="33"/>
        <v>Sam. novembre , 2026</v>
      </c>
      <c r="Z119" s="143">
        <f t="shared" ca="1" si="24"/>
        <v>30</v>
      </c>
      <c r="AA119" s="348">
        <f t="shared" ca="1" si="25"/>
        <v>11</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Sam</v>
      </c>
      <c r="U120" s="186" t="str">
        <f t="shared" ca="1" si="32"/>
        <v>novembre</v>
      </c>
      <c r="X120" s="347">
        <f t="shared" ca="1" si="36"/>
        <v>46326</v>
      </c>
      <c r="Y120" s="452" t="str">
        <f t="shared" ca="1" si="33"/>
        <v>Sam. novembre , 2026</v>
      </c>
      <c r="Z120" s="143">
        <f t="shared" ca="1" si="24"/>
        <v>30</v>
      </c>
      <c r="AA120" s="348">
        <f t="shared" ca="1" si="25"/>
        <v>11</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Sam</v>
      </c>
      <c r="U121" s="186" t="str">
        <f t="shared" ca="1" si="32"/>
        <v>novembre</v>
      </c>
      <c r="X121" s="347">
        <f t="shared" ca="1" si="36"/>
        <v>46326</v>
      </c>
      <c r="Y121" s="452" t="str">
        <f t="shared" ca="1" si="33"/>
        <v>Sam. novembre , 2026</v>
      </c>
      <c r="Z121" s="143">
        <f t="shared" ca="1" si="24"/>
        <v>30</v>
      </c>
      <c r="AA121" s="348">
        <f t="shared" ca="1" si="25"/>
        <v>11</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Sam</v>
      </c>
      <c r="U122" s="186" t="str">
        <f t="shared" ca="1" si="32"/>
        <v>novembre</v>
      </c>
      <c r="X122" s="347">
        <f t="shared" ca="1" si="36"/>
        <v>46326</v>
      </c>
      <c r="Y122" s="452" t="str">
        <f t="shared" ca="1" si="33"/>
        <v>Sam. novembre , 2026</v>
      </c>
      <c r="Z122" s="143">
        <f t="shared" ca="1" si="24"/>
        <v>30</v>
      </c>
      <c r="AA122" s="348">
        <f t="shared" ca="1" si="25"/>
        <v>11</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Sam</v>
      </c>
      <c r="U123" s="186" t="str">
        <f t="shared" ca="1" si="32"/>
        <v>novembre</v>
      </c>
      <c r="X123" s="347">
        <f t="shared" ca="1" si="36"/>
        <v>46326</v>
      </c>
      <c r="Y123" s="452" t="str">
        <f t="shared" ca="1" si="33"/>
        <v>Sam. novembre , 2026</v>
      </c>
      <c r="Z123" s="143">
        <f t="shared" ca="1" si="24"/>
        <v>30</v>
      </c>
      <c r="AA123" s="348">
        <f t="shared" ca="1" si="25"/>
        <v>11</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Sam</v>
      </c>
      <c r="U124" s="186" t="str">
        <f t="shared" ca="1" si="32"/>
        <v>novembre</v>
      </c>
      <c r="X124" s="347">
        <f t="shared" ca="1" si="36"/>
        <v>46326</v>
      </c>
      <c r="Y124" s="452" t="str">
        <f t="shared" ca="1" si="33"/>
        <v>Sam. novembre , 2026</v>
      </c>
      <c r="Z124" s="143">
        <f t="shared" ca="1" si="24"/>
        <v>30</v>
      </c>
      <c r="AA124" s="348">
        <f t="shared" ca="1" si="25"/>
        <v>11</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Sam</v>
      </c>
      <c r="U125" s="186" t="str">
        <f t="shared" ca="1" si="32"/>
        <v>novembre</v>
      </c>
      <c r="X125" s="347">
        <f t="shared" ca="1" si="36"/>
        <v>46326</v>
      </c>
      <c r="Y125" s="452" t="str">
        <f t="shared" ca="1" si="33"/>
        <v>Sam. novembre , 2026</v>
      </c>
      <c r="Z125" s="143">
        <f t="shared" ca="1" si="24"/>
        <v>30</v>
      </c>
      <c r="AA125" s="348">
        <f t="shared" ca="1" si="25"/>
        <v>11</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Sam</v>
      </c>
      <c r="U126" s="186" t="str">
        <f t="shared" ca="1" si="32"/>
        <v>novembre</v>
      </c>
      <c r="X126" s="347">
        <f t="shared" ca="1" si="36"/>
        <v>46326</v>
      </c>
      <c r="Y126" s="452" t="str">
        <f t="shared" ca="1" si="33"/>
        <v>Sam. novembre , 2026</v>
      </c>
      <c r="Z126" s="143">
        <f t="shared" ca="1" si="24"/>
        <v>30</v>
      </c>
      <c r="AA126" s="348">
        <f t="shared" ca="1" si="25"/>
        <v>11</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Sam</v>
      </c>
      <c r="U127" s="186" t="str">
        <f t="shared" ca="1" si="32"/>
        <v>novembre</v>
      </c>
      <c r="X127" s="347">
        <f t="shared" ca="1" si="36"/>
        <v>46326</v>
      </c>
      <c r="Y127" s="452" t="str">
        <f t="shared" ca="1" si="33"/>
        <v>Sam. novembre , 2026</v>
      </c>
      <c r="Z127" s="143">
        <f t="shared" ca="1" si="24"/>
        <v>30</v>
      </c>
      <c r="AA127" s="348">
        <f t="shared" ca="1" si="25"/>
        <v>11</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Sam</v>
      </c>
      <c r="U128" s="186" t="str">
        <f t="shared" ca="1" si="32"/>
        <v>novembre</v>
      </c>
      <c r="X128" s="347">
        <f t="shared" ca="1" si="36"/>
        <v>46326</v>
      </c>
      <c r="Y128" s="452" t="str">
        <f t="shared" ca="1" si="33"/>
        <v>Sam. novembre , 2026</v>
      </c>
      <c r="Z128" s="143">
        <f t="shared" ca="1" si="24"/>
        <v>30</v>
      </c>
      <c r="AA128" s="348">
        <f t="shared" ca="1" si="25"/>
        <v>11</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Sam</v>
      </c>
      <c r="U129" s="186" t="str">
        <f t="shared" ca="1" si="32"/>
        <v>novembre</v>
      </c>
      <c r="X129" s="347">
        <f t="shared" ca="1" si="36"/>
        <v>46326</v>
      </c>
      <c r="Y129" s="452" t="str">
        <f t="shared" ca="1" si="33"/>
        <v>Sam. novembre , 2026</v>
      </c>
      <c r="Z129" s="143">
        <f t="shared" ca="1" si="24"/>
        <v>30</v>
      </c>
      <c r="AA129" s="348">
        <f t="shared" ca="1" si="25"/>
        <v>11</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Sam</v>
      </c>
      <c r="U130" s="186" t="str">
        <f t="shared" ca="1" si="32"/>
        <v>novembre</v>
      </c>
      <c r="X130" s="347">
        <f t="shared" ca="1" si="36"/>
        <v>46326</v>
      </c>
      <c r="Y130" s="452" t="str">
        <f t="shared" ca="1" si="33"/>
        <v>Sam. novembre , 2026</v>
      </c>
      <c r="Z130" s="143">
        <f t="shared" ca="1" si="24"/>
        <v>30</v>
      </c>
      <c r="AA130" s="348">
        <f t="shared" ca="1" si="25"/>
        <v>11</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Sam</v>
      </c>
      <c r="U131" s="186" t="str">
        <f t="shared" ca="1" si="32"/>
        <v>novembre</v>
      </c>
      <c r="X131" s="347">
        <f t="shared" ca="1" si="36"/>
        <v>46326</v>
      </c>
      <c r="Y131" s="452" t="str">
        <f t="shared" ca="1" si="33"/>
        <v>Sam. novembre , 2026</v>
      </c>
      <c r="Z131" s="143">
        <f t="shared" ca="1" si="24"/>
        <v>30</v>
      </c>
      <c r="AA131" s="348">
        <f t="shared" ca="1" si="25"/>
        <v>11</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Sam</v>
      </c>
      <c r="U132" s="186" t="str">
        <f t="shared" ca="1" si="32"/>
        <v>novembre</v>
      </c>
      <c r="X132" s="347">
        <f t="shared" ca="1" si="36"/>
        <v>46326</v>
      </c>
      <c r="Y132" s="452" t="str">
        <f t="shared" ca="1" si="33"/>
        <v>Sam. novembre , 2026</v>
      </c>
      <c r="Z132" s="143">
        <f t="shared" ca="1" si="24"/>
        <v>30</v>
      </c>
      <c r="AA132" s="348">
        <f t="shared" ca="1" si="25"/>
        <v>11</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Sam</v>
      </c>
      <c r="U133" s="186" t="str">
        <f t="shared" ca="1" si="32"/>
        <v>novembre</v>
      </c>
      <c r="X133" s="347">
        <f t="shared" ca="1" si="36"/>
        <v>46326</v>
      </c>
      <c r="Y133" s="452" t="str">
        <f t="shared" ca="1" si="33"/>
        <v>Sam. novembre , 2026</v>
      </c>
      <c r="Z133" s="143">
        <f t="shared" ca="1" si="24"/>
        <v>30</v>
      </c>
      <c r="AA133" s="348">
        <f t="shared" ca="1" si="25"/>
        <v>11</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Sam</v>
      </c>
      <c r="U134" s="186" t="str">
        <f t="shared" ca="1" si="32"/>
        <v>novembre</v>
      </c>
      <c r="X134" s="347">
        <f t="shared" ca="1" si="36"/>
        <v>46326</v>
      </c>
      <c r="Y134" s="452" t="str">
        <f t="shared" ca="1" si="33"/>
        <v>Sam. novembre , 2026</v>
      </c>
      <c r="Z134" s="143">
        <f t="shared" ca="1" si="24"/>
        <v>30</v>
      </c>
      <c r="AA134" s="348">
        <f t="shared" ca="1" si="25"/>
        <v>11</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Sam</v>
      </c>
      <c r="U135" s="186" t="str">
        <f t="shared" ca="1" si="32"/>
        <v>novembre</v>
      </c>
      <c r="X135" s="347">
        <f t="shared" ca="1" si="36"/>
        <v>46326</v>
      </c>
      <c r="Y135" s="452" t="str">
        <f t="shared" ca="1" si="33"/>
        <v>Sam. novembre , 2026</v>
      </c>
      <c r="Z135" s="143">
        <f t="shared" ca="1" si="24"/>
        <v>30</v>
      </c>
      <c r="AA135" s="348">
        <f t="shared" ca="1" si="25"/>
        <v>11</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Sam</v>
      </c>
      <c r="U136" s="186" t="str">
        <f t="shared" ca="1" si="32"/>
        <v>novembre</v>
      </c>
      <c r="X136" s="347">
        <f t="shared" ca="1" si="36"/>
        <v>46326</v>
      </c>
      <c r="Y136" s="452" t="str">
        <f t="shared" ca="1" si="33"/>
        <v>Sam. novembre , 2026</v>
      </c>
      <c r="Z136" s="143">
        <f t="shared" ca="1" si="24"/>
        <v>30</v>
      </c>
      <c r="AA136" s="348">
        <f t="shared" ca="1" si="25"/>
        <v>11</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Sam</v>
      </c>
      <c r="U137" s="186" t="str">
        <f t="shared" ca="1" si="32"/>
        <v>novembre</v>
      </c>
      <c r="X137" s="347">
        <f t="shared" ca="1" si="36"/>
        <v>46326</v>
      </c>
      <c r="Y137" s="452" t="str">
        <f t="shared" ca="1" si="33"/>
        <v>Sam. novembre , 2026</v>
      </c>
      <c r="Z137" s="143">
        <f t="shared" ca="1" si="24"/>
        <v>30</v>
      </c>
      <c r="AA137" s="348">
        <f t="shared" ca="1" si="25"/>
        <v>11</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Sam</v>
      </c>
      <c r="U138" s="186" t="str">
        <f t="shared" ca="1" si="32"/>
        <v>novembre</v>
      </c>
      <c r="X138" s="347">
        <f t="shared" ca="1" si="36"/>
        <v>46326</v>
      </c>
      <c r="Y138" s="452" t="str">
        <f t="shared" ca="1" si="33"/>
        <v>Sam. novembre , 2026</v>
      </c>
      <c r="Z138" s="143">
        <f t="shared" ca="1" si="24"/>
        <v>30</v>
      </c>
      <c r="AA138" s="348">
        <f t="shared" ca="1" si="25"/>
        <v>11</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Sam</v>
      </c>
      <c r="U139" s="186" t="str">
        <f t="shared" ca="1" si="32"/>
        <v>novembre</v>
      </c>
      <c r="X139" s="347">
        <f t="shared" ca="1" si="36"/>
        <v>46326</v>
      </c>
      <c r="Y139" s="452" t="str">
        <f t="shared" ca="1" si="33"/>
        <v>Sam. novembre , 2026</v>
      </c>
      <c r="Z139" s="143">
        <f t="shared" ca="1" si="24"/>
        <v>30</v>
      </c>
      <c r="AA139" s="348">
        <f t="shared" ca="1" si="25"/>
        <v>11</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Sam</v>
      </c>
      <c r="U140" s="186" t="str">
        <f t="shared" ca="1" si="32"/>
        <v>novembre</v>
      </c>
      <c r="X140" s="347">
        <f t="shared" ca="1" si="36"/>
        <v>46326</v>
      </c>
      <c r="Y140" s="452" t="str">
        <f t="shared" ca="1" si="33"/>
        <v>Sam. novembre , 2026</v>
      </c>
      <c r="Z140" s="143">
        <f t="shared" ca="1" si="24"/>
        <v>30</v>
      </c>
      <c r="AA140" s="348">
        <f t="shared" ca="1" si="25"/>
        <v>11</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Sam</v>
      </c>
      <c r="U141" s="186" t="str">
        <f t="shared" ca="1" si="32"/>
        <v>novembre</v>
      </c>
      <c r="X141" s="347">
        <f t="shared" ca="1" si="36"/>
        <v>46326</v>
      </c>
      <c r="Y141" s="452" t="str">
        <f t="shared" ca="1" si="33"/>
        <v>Sam. novembre , 2026</v>
      </c>
      <c r="Z141" s="143">
        <f t="shared" ca="1" si="24"/>
        <v>30</v>
      </c>
      <c r="AA141" s="348">
        <f t="shared" ca="1" si="25"/>
        <v>11</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Sam</v>
      </c>
      <c r="U142" s="186" t="str">
        <f t="shared" ca="1" si="32"/>
        <v>novembre</v>
      </c>
      <c r="X142" s="347">
        <f t="shared" ca="1" si="36"/>
        <v>46326</v>
      </c>
      <c r="Y142" s="452" t="str">
        <f t="shared" ca="1" si="33"/>
        <v>Sam. novembre , 2026</v>
      </c>
      <c r="Z142" s="143">
        <f t="shared" ca="1" si="24"/>
        <v>30</v>
      </c>
      <c r="AA142" s="348">
        <f t="shared" ca="1" si="25"/>
        <v>11</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Sam</v>
      </c>
      <c r="U143" s="186" t="str">
        <f t="shared" ca="1" si="32"/>
        <v>novembre</v>
      </c>
      <c r="X143" s="347">
        <f t="shared" ca="1" si="36"/>
        <v>46326</v>
      </c>
      <c r="Y143" s="452" t="str">
        <f t="shared" ca="1" si="33"/>
        <v>Sam. novembre , 2026</v>
      </c>
      <c r="Z143" s="143">
        <f t="shared" ca="1" si="24"/>
        <v>30</v>
      </c>
      <c r="AA143" s="348">
        <f t="shared" ca="1" si="25"/>
        <v>11</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Sam</v>
      </c>
      <c r="U144" s="186" t="str">
        <f t="shared" ca="1" si="32"/>
        <v>novembre</v>
      </c>
      <c r="X144" s="347">
        <f t="shared" ca="1" si="36"/>
        <v>46326</v>
      </c>
      <c r="Y144" s="452" t="str">
        <f t="shared" ca="1" si="33"/>
        <v>Sam. novembre , 2026</v>
      </c>
      <c r="Z144" s="143">
        <f t="shared" ca="1" si="24"/>
        <v>30</v>
      </c>
      <c r="AA144" s="348">
        <f t="shared" ca="1" si="25"/>
        <v>11</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Sam</v>
      </c>
      <c r="U145" s="186" t="str">
        <f t="shared" ca="1" si="32"/>
        <v>novembre</v>
      </c>
      <c r="X145" s="347">
        <f t="shared" ca="1" si="36"/>
        <v>46326</v>
      </c>
      <c r="Y145" s="452" t="str">
        <f t="shared" ca="1" si="33"/>
        <v>Sam. novembre , 2026</v>
      </c>
      <c r="Z145" s="143">
        <f t="shared" ca="1" si="24"/>
        <v>30</v>
      </c>
      <c r="AA145" s="348">
        <f t="shared" ca="1" si="25"/>
        <v>11</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Sam</v>
      </c>
      <c r="U146" s="186" t="str">
        <f t="shared" ca="1" si="32"/>
        <v>novembre</v>
      </c>
      <c r="X146" s="347">
        <f t="shared" ca="1" si="36"/>
        <v>46326</v>
      </c>
      <c r="Y146" s="452" t="str">
        <f t="shared" ca="1" si="33"/>
        <v>Sam. novembre , 2026</v>
      </c>
      <c r="Z146" s="143">
        <f t="shared" ca="1" si="24"/>
        <v>30</v>
      </c>
      <c r="AA146" s="348">
        <f t="shared" ca="1" si="25"/>
        <v>11</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Sam</v>
      </c>
      <c r="U147" s="186" t="str">
        <f t="shared" ca="1" si="32"/>
        <v>novembre</v>
      </c>
      <c r="X147" s="347">
        <f t="shared" ca="1" si="36"/>
        <v>46326</v>
      </c>
      <c r="Y147" s="452" t="str">
        <f t="shared" ca="1" si="33"/>
        <v>Sam. novembre , 2026</v>
      </c>
      <c r="Z147" s="143">
        <f t="shared" ca="1" si="24"/>
        <v>30</v>
      </c>
      <c r="AA147" s="348">
        <f t="shared" ca="1" si="25"/>
        <v>11</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Sam</v>
      </c>
      <c r="U148" s="186" t="str">
        <f t="shared" ca="1" si="32"/>
        <v>novembre</v>
      </c>
      <c r="X148" s="347">
        <f t="shared" ca="1" si="36"/>
        <v>46326</v>
      </c>
      <c r="Y148" s="452" t="str">
        <f t="shared" ca="1" si="33"/>
        <v>Sam. novembre , 2026</v>
      </c>
      <c r="Z148" s="143">
        <f t="shared" ref="Z148:Z194" ca="1" si="43">MIN(R148,$AF$5)</f>
        <v>30</v>
      </c>
      <c r="AA148" s="348">
        <f t="shared" ref="AA148:AA194" ca="1" si="44">$AD$6</f>
        <v>11</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Sam</v>
      </c>
      <c r="U149" s="186" t="str">
        <f t="shared" ref="U149:U194" ca="1" si="51">$U$19</f>
        <v>novembre</v>
      </c>
      <c r="X149" s="347">
        <f t="shared" ca="1" si="36"/>
        <v>46326</v>
      </c>
      <c r="Y149" s="452" t="str">
        <f t="shared" ref="Y149:Y194" ca="1" si="52">IF(Y143="f",T149&amp;". "&amp;" "&amp;R149&amp;" "&amp;U149&amp;" "&amp;$AE$7,T149&amp;". "&amp;U149&amp;" "&amp;R149&amp;", "&amp;$AE$7)</f>
        <v>Sam. novembre , 2026</v>
      </c>
      <c r="Z149" s="143">
        <f t="shared" ca="1" si="43"/>
        <v>30</v>
      </c>
      <c r="AA149" s="348">
        <f t="shared" ca="1" si="44"/>
        <v>11</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Sam</v>
      </c>
      <c r="U150" s="186" t="str">
        <f t="shared" ca="1" si="51"/>
        <v>novembre</v>
      </c>
      <c r="X150" s="347">
        <f t="shared" ref="X150:X194" ca="1" si="55">$AE$8+D150</f>
        <v>46326</v>
      </c>
      <c r="Y150" s="452" t="str">
        <f t="shared" ca="1" si="52"/>
        <v>Sam. novembre , 2026</v>
      </c>
      <c r="Z150" s="143">
        <f t="shared" ca="1" si="43"/>
        <v>30</v>
      </c>
      <c r="AA150" s="348">
        <f t="shared" ca="1" si="44"/>
        <v>11</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Sam</v>
      </c>
      <c r="U151" s="186" t="str">
        <f t="shared" ca="1" si="51"/>
        <v>novembre</v>
      </c>
      <c r="X151" s="347">
        <f t="shared" ca="1" si="55"/>
        <v>46326</v>
      </c>
      <c r="Y151" s="452" t="str">
        <f t="shared" ca="1" si="52"/>
        <v>Sam. novembre , 2026</v>
      </c>
      <c r="Z151" s="143">
        <f t="shared" ca="1" si="43"/>
        <v>30</v>
      </c>
      <c r="AA151" s="348">
        <f t="shared" ca="1" si="44"/>
        <v>11</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Sam</v>
      </c>
      <c r="U152" s="186" t="str">
        <f t="shared" ca="1" si="51"/>
        <v>novembre</v>
      </c>
      <c r="X152" s="347">
        <f t="shared" ca="1" si="55"/>
        <v>46326</v>
      </c>
      <c r="Y152" s="452" t="str">
        <f t="shared" ca="1" si="52"/>
        <v>Sam. novembre , 2026</v>
      </c>
      <c r="Z152" s="143">
        <f t="shared" ca="1" si="43"/>
        <v>30</v>
      </c>
      <c r="AA152" s="348">
        <f t="shared" ca="1" si="44"/>
        <v>11</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Sam</v>
      </c>
      <c r="U153" s="186" t="str">
        <f t="shared" ca="1" si="51"/>
        <v>novembre</v>
      </c>
      <c r="X153" s="347">
        <f t="shared" ca="1" si="55"/>
        <v>46326</v>
      </c>
      <c r="Y153" s="452" t="str">
        <f t="shared" ca="1" si="52"/>
        <v>Sam. novembre , 2026</v>
      </c>
      <c r="Z153" s="143">
        <f t="shared" ca="1" si="43"/>
        <v>30</v>
      </c>
      <c r="AA153" s="348">
        <f t="shared" ca="1" si="44"/>
        <v>11</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Sam</v>
      </c>
      <c r="U154" s="186" t="str">
        <f t="shared" ca="1" si="51"/>
        <v>novembre</v>
      </c>
      <c r="X154" s="347">
        <f t="shared" ca="1" si="55"/>
        <v>46326</v>
      </c>
      <c r="Y154" s="452" t="str">
        <f t="shared" ca="1" si="52"/>
        <v>Sam. novembre , 2026</v>
      </c>
      <c r="Z154" s="143">
        <f t="shared" ca="1" si="43"/>
        <v>30</v>
      </c>
      <c r="AA154" s="348">
        <f t="shared" ca="1" si="44"/>
        <v>11</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Sam</v>
      </c>
      <c r="U155" s="186" t="str">
        <f t="shared" ca="1" si="51"/>
        <v>novembre</v>
      </c>
      <c r="X155" s="347">
        <f t="shared" ca="1" si="55"/>
        <v>46326</v>
      </c>
      <c r="Y155" s="452" t="str">
        <f t="shared" ca="1" si="52"/>
        <v>Sam. novembre , 2026</v>
      </c>
      <c r="Z155" s="143">
        <f t="shared" ca="1" si="43"/>
        <v>30</v>
      </c>
      <c r="AA155" s="348">
        <f t="shared" ca="1" si="44"/>
        <v>11</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Sam</v>
      </c>
      <c r="U156" s="186" t="str">
        <f t="shared" ca="1" si="51"/>
        <v>novembre</v>
      </c>
      <c r="X156" s="347">
        <f t="shared" ca="1" si="55"/>
        <v>46326</v>
      </c>
      <c r="Y156" s="452" t="str">
        <f t="shared" ca="1" si="52"/>
        <v>Sam. novembre , 2026</v>
      </c>
      <c r="Z156" s="143">
        <f t="shared" ca="1" si="43"/>
        <v>30</v>
      </c>
      <c r="AA156" s="348">
        <f t="shared" ca="1" si="44"/>
        <v>11</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Sam</v>
      </c>
      <c r="U157" s="186" t="str">
        <f t="shared" ca="1" si="51"/>
        <v>novembre</v>
      </c>
      <c r="X157" s="347">
        <f t="shared" ca="1" si="55"/>
        <v>46326</v>
      </c>
      <c r="Y157" s="452" t="str">
        <f t="shared" ca="1" si="52"/>
        <v>Sam. novembre , 2026</v>
      </c>
      <c r="Z157" s="143">
        <f t="shared" ca="1" si="43"/>
        <v>30</v>
      </c>
      <c r="AA157" s="348">
        <f t="shared" ca="1" si="44"/>
        <v>11</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Sam</v>
      </c>
      <c r="U158" s="186" t="str">
        <f t="shared" ca="1" si="51"/>
        <v>novembre</v>
      </c>
      <c r="X158" s="347">
        <f t="shared" ca="1" si="55"/>
        <v>46326</v>
      </c>
      <c r="Y158" s="452" t="str">
        <f t="shared" ca="1" si="52"/>
        <v>Sam. novembre , 2026</v>
      </c>
      <c r="Z158" s="143">
        <f t="shared" ca="1" si="43"/>
        <v>30</v>
      </c>
      <c r="AA158" s="348">
        <f t="shared" ca="1" si="44"/>
        <v>11</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Sam</v>
      </c>
      <c r="U159" s="186" t="str">
        <f t="shared" ca="1" si="51"/>
        <v>novembre</v>
      </c>
      <c r="X159" s="347">
        <f t="shared" ca="1" si="55"/>
        <v>46326</v>
      </c>
      <c r="Y159" s="452" t="str">
        <f t="shared" ca="1" si="52"/>
        <v>Sam. novembre , 2026</v>
      </c>
      <c r="Z159" s="143">
        <f t="shared" ca="1" si="43"/>
        <v>30</v>
      </c>
      <c r="AA159" s="348">
        <f t="shared" ca="1" si="44"/>
        <v>11</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Sam</v>
      </c>
      <c r="U160" s="186" t="str">
        <f t="shared" ca="1" si="51"/>
        <v>novembre</v>
      </c>
      <c r="X160" s="347">
        <f t="shared" ca="1" si="55"/>
        <v>46326</v>
      </c>
      <c r="Y160" s="452" t="str">
        <f t="shared" ca="1" si="52"/>
        <v>Sam. novembre , 2026</v>
      </c>
      <c r="Z160" s="143">
        <f t="shared" ca="1" si="43"/>
        <v>30</v>
      </c>
      <c r="AA160" s="348">
        <f t="shared" ca="1" si="44"/>
        <v>11</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Sam</v>
      </c>
      <c r="U161" s="186" t="str">
        <f t="shared" ca="1" si="51"/>
        <v>novembre</v>
      </c>
      <c r="X161" s="347">
        <f t="shared" ca="1" si="55"/>
        <v>46326</v>
      </c>
      <c r="Y161" s="452" t="str">
        <f t="shared" ca="1" si="52"/>
        <v>Sam. novembre , 2026</v>
      </c>
      <c r="Z161" s="143">
        <f t="shared" ca="1" si="43"/>
        <v>30</v>
      </c>
      <c r="AA161" s="348">
        <f t="shared" ca="1" si="44"/>
        <v>11</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Sam</v>
      </c>
      <c r="U162" s="186" t="str">
        <f t="shared" ca="1" si="51"/>
        <v>novembre</v>
      </c>
      <c r="X162" s="347">
        <f t="shared" ca="1" si="55"/>
        <v>46326</v>
      </c>
      <c r="Y162" s="452" t="str">
        <f t="shared" ca="1" si="52"/>
        <v>Sam. novembre , 2026</v>
      </c>
      <c r="Z162" s="143">
        <f t="shared" ca="1" si="43"/>
        <v>30</v>
      </c>
      <c r="AA162" s="348">
        <f t="shared" ca="1" si="44"/>
        <v>11</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Sam</v>
      </c>
      <c r="U163" s="186" t="str">
        <f t="shared" ca="1" si="51"/>
        <v>novembre</v>
      </c>
      <c r="X163" s="347">
        <f t="shared" ca="1" si="55"/>
        <v>46326</v>
      </c>
      <c r="Y163" s="452" t="str">
        <f t="shared" ca="1" si="52"/>
        <v>Sam. novembre , 2026</v>
      </c>
      <c r="Z163" s="143">
        <f t="shared" ca="1" si="43"/>
        <v>30</v>
      </c>
      <c r="AA163" s="348">
        <f t="shared" ca="1" si="44"/>
        <v>11</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Sam</v>
      </c>
      <c r="U164" s="186" t="str">
        <f t="shared" ca="1" si="51"/>
        <v>novembre</v>
      </c>
      <c r="X164" s="347">
        <f t="shared" ca="1" si="55"/>
        <v>46326</v>
      </c>
      <c r="Y164" s="452" t="str">
        <f t="shared" ca="1" si="52"/>
        <v>Sam. novembre , 2026</v>
      </c>
      <c r="Z164" s="143">
        <f t="shared" ca="1" si="43"/>
        <v>30</v>
      </c>
      <c r="AA164" s="348">
        <f t="shared" ca="1" si="44"/>
        <v>11</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Sam</v>
      </c>
      <c r="U165" s="186" t="str">
        <f t="shared" ca="1" si="51"/>
        <v>novembre</v>
      </c>
      <c r="X165" s="347">
        <f t="shared" ca="1" si="55"/>
        <v>46326</v>
      </c>
      <c r="Y165" s="452" t="str">
        <f t="shared" ca="1" si="52"/>
        <v>Sam. novembre , 2026</v>
      </c>
      <c r="Z165" s="143">
        <f t="shared" ca="1" si="43"/>
        <v>30</v>
      </c>
      <c r="AA165" s="348">
        <f t="shared" ca="1" si="44"/>
        <v>11</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Sam</v>
      </c>
      <c r="U166" s="186" t="str">
        <f t="shared" ca="1" si="51"/>
        <v>novembre</v>
      </c>
      <c r="X166" s="347">
        <f t="shared" ca="1" si="55"/>
        <v>46326</v>
      </c>
      <c r="Y166" s="452" t="str">
        <f t="shared" ca="1" si="52"/>
        <v>Sam. novembre , 2026</v>
      </c>
      <c r="Z166" s="143">
        <f t="shared" ca="1" si="43"/>
        <v>30</v>
      </c>
      <c r="AA166" s="348">
        <f t="shared" ca="1" si="44"/>
        <v>11</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Sam</v>
      </c>
      <c r="U167" s="186" t="str">
        <f t="shared" ca="1" si="51"/>
        <v>novembre</v>
      </c>
      <c r="X167" s="347">
        <f t="shared" ca="1" si="55"/>
        <v>46326</v>
      </c>
      <c r="Y167" s="452" t="str">
        <f t="shared" ca="1" si="52"/>
        <v>Sam. novembre , 2026</v>
      </c>
      <c r="Z167" s="143">
        <f t="shared" ca="1" si="43"/>
        <v>30</v>
      </c>
      <c r="AA167" s="348">
        <f t="shared" ca="1" si="44"/>
        <v>11</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Sam</v>
      </c>
      <c r="U168" s="186" t="str">
        <f t="shared" ca="1" si="51"/>
        <v>novembre</v>
      </c>
      <c r="X168" s="347">
        <f t="shared" ca="1" si="55"/>
        <v>46326</v>
      </c>
      <c r="Y168" s="452" t="str">
        <f t="shared" ca="1" si="52"/>
        <v>Sam. novembre , 2026</v>
      </c>
      <c r="Z168" s="143">
        <f t="shared" ca="1" si="43"/>
        <v>30</v>
      </c>
      <c r="AA168" s="348">
        <f t="shared" ca="1" si="44"/>
        <v>11</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Sam</v>
      </c>
      <c r="U169" s="186" t="str">
        <f t="shared" ca="1" si="51"/>
        <v>novembre</v>
      </c>
      <c r="X169" s="347">
        <f t="shared" ca="1" si="55"/>
        <v>46326</v>
      </c>
      <c r="Y169" s="452" t="str">
        <f t="shared" ca="1" si="52"/>
        <v>Sam. novembre , 2026</v>
      </c>
      <c r="Z169" s="143">
        <f t="shared" ca="1" si="43"/>
        <v>30</v>
      </c>
      <c r="AA169" s="348">
        <f t="shared" ca="1" si="44"/>
        <v>11</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Sam</v>
      </c>
      <c r="U170" s="186" t="str">
        <f t="shared" ca="1" si="51"/>
        <v>novembre</v>
      </c>
      <c r="X170" s="347">
        <f t="shared" ca="1" si="55"/>
        <v>46326</v>
      </c>
      <c r="Y170" s="452" t="str">
        <f t="shared" ca="1" si="52"/>
        <v>Sam. novembre , 2026</v>
      </c>
      <c r="Z170" s="143">
        <f t="shared" ca="1" si="43"/>
        <v>30</v>
      </c>
      <c r="AA170" s="348">
        <f t="shared" ca="1" si="44"/>
        <v>11</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Sam</v>
      </c>
      <c r="U171" s="186" t="str">
        <f t="shared" ca="1" si="51"/>
        <v>novembre</v>
      </c>
      <c r="X171" s="347">
        <f t="shared" ca="1" si="55"/>
        <v>46326</v>
      </c>
      <c r="Y171" s="452" t="str">
        <f t="shared" ca="1" si="52"/>
        <v>Sam. novembre , 2026</v>
      </c>
      <c r="Z171" s="143">
        <f t="shared" ca="1" si="43"/>
        <v>30</v>
      </c>
      <c r="AA171" s="348">
        <f t="shared" ca="1" si="44"/>
        <v>11</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Sam</v>
      </c>
      <c r="U172" s="186" t="str">
        <f t="shared" ca="1" si="51"/>
        <v>novembre</v>
      </c>
      <c r="X172" s="347">
        <f t="shared" ca="1" si="55"/>
        <v>46326</v>
      </c>
      <c r="Y172" s="452" t="str">
        <f t="shared" ca="1" si="52"/>
        <v>Sam. novembre , 2026</v>
      </c>
      <c r="Z172" s="143">
        <f t="shared" ca="1" si="43"/>
        <v>30</v>
      </c>
      <c r="AA172" s="348">
        <f t="shared" ca="1" si="44"/>
        <v>11</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Sam</v>
      </c>
      <c r="U173" s="186" t="str">
        <f t="shared" ca="1" si="51"/>
        <v>novembre</v>
      </c>
      <c r="X173" s="347">
        <f t="shared" ca="1" si="55"/>
        <v>46326</v>
      </c>
      <c r="Y173" s="452" t="str">
        <f t="shared" ca="1" si="52"/>
        <v>Sam. novembre , 2026</v>
      </c>
      <c r="Z173" s="143">
        <f t="shared" ca="1" si="43"/>
        <v>30</v>
      </c>
      <c r="AA173" s="348">
        <f t="shared" ca="1" si="44"/>
        <v>11</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Sam</v>
      </c>
      <c r="U174" s="186" t="str">
        <f t="shared" ca="1" si="51"/>
        <v>novembre</v>
      </c>
      <c r="X174" s="347">
        <f t="shared" ca="1" si="55"/>
        <v>46326</v>
      </c>
      <c r="Y174" s="452" t="str">
        <f t="shared" ca="1" si="52"/>
        <v>Sam. novembre , 2026</v>
      </c>
      <c r="Z174" s="143">
        <f t="shared" ca="1" si="43"/>
        <v>30</v>
      </c>
      <c r="AA174" s="348">
        <f t="shared" ca="1" si="44"/>
        <v>11</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Sam</v>
      </c>
      <c r="U175" s="186" t="str">
        <f t="shared" ca="1" si="51"/>
        <v>novembre</v>
      </c>
      <c r="X175" s="347">
        <f t="shared" ca="1" si="55"/>
        <v>46326</v>
      </c>
      <c r="Y175" s="452" t="str">
        <f t="shared" ca="1" si="52"/>
        <v>Sam. novembre , 2026</v>
      </c>
      <c r="Z175" s="143">
        <f t="shared" ca="1" si="43"/>
        <v>30</v>
      </c>
      <c r="AA175" s="348">
        <f t="shared" ca="1" si="44"/>
        <v>11</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Sam</v>
      </c>
      <c r="U176" s="186" t="str">
        <f t="shared" ca="1" si="51"/>
        <v>novembre</v>
      </c>
      <c r="X176" s="347">
        <f t="shared" ca="1" si="55"/>
        <v>46326</v>
      </c>
      <c r="Y176" s="452" t="str">
        <f t="shared" ca="1" si="52"/>
        <v>Sam. novembre , 2026</v>
      </c>
      <c r="Z176" s="143">
        <f t="shared" ca="1" si="43"/>
        <v>30</v>
      </c>
      <c r="AA176" s="348">
        <f t="shared" ca="1" si="44"/>
        <v>11</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Sam</v>
      </c>
      <c r="U177" s="186" t="str">
        <f t="shared" ca="1" si="51"/>
        <v>novembre</v>
      </c>
      <c r="X177" s="347">
        <f t="shared" ca="1" si="55"/>
        <v>46326</v>
      </c>
      <c r="Y177" s="452" t="str">
        <f t="shared" ca="1" si="52"/>
        <v>Sam. novembre , 2026</v>
      </c>
      <c r="Z177" s="143">
        <f t="shared" ca="1" si="43"/>
        <v>30</v>
      </c>
      <c r="AA177" s="348">
        <f t="shared" ca="1" si="44"/>
        <v>11</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Sam</v>
      </c>
      <c r="U178" s="186" t="str">
        <f t="shared" ca="1" si="51"/>
        <v>novembre</v>
      </c>
      <c r="X178" s="347">
        <f t="shared" ca="1" si="55"/>
        <v>46326</v>
      </c>
      <c r="Y178" s="452" t="str">
        <f t="shared" ca="1" si="52"/>
        <v>Sam. novembre , 2026</v>
      </c>
      <c r="Z178" s="143">
        <f t="shared" ca="1" si="43"/>
        <v>30</v>
      </c>
      <c r="AA178" s="348">
        <f t="shared" ca="1" si="44"/>
        <v>11</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Sam</v>
      </c>
      <c r="U179" s="186" t="str">
        <f t="shared" ca="1" si="51"/>
        <v>novembre</v>
      </c>
      <c r="X179" s="347">
        <f t="shared" ca="1" si="55"/>
        <v>46326</v>
      </c>
      <c r="Y179" s="452" t="str">
        <f t="shared" ca="1" si="52"/>
        <v>Sam. novembre , 2026</v>
      </c>
      <c r="Z179" s="143">
        <f t="shared" ca="1" si="43"/>
        <v>30</v>
      </c>
      <c r="AA179" s="348">
        <f t="shared" ca="1" si="44"/>
        <v>11</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Sam</v>
      </c>
      <c r="U180" s="186" t="str">
        <f t="shared" ca="1" si="51"/>
        <v>novembre</v>
      </c>
      <c r="X180" s="347">
        <f t="shared" ca="1" si="55"/>
        <v>46326</v>
      </c>
      <c r="Y180" s="452" t="str">
        <f t="shared" ca="1" si="52"/>
        <v>Sam. novembre , 2026</v>
      </c>
      <c r="Z180" s="143">
        <f t="shared" ca="1" si="43"/>
        <v>30</v>
      </c>
      <c r="AA180" s="348">
        <f t="shared" ca="1" si="44"/>
        <v>11</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Sam</v>
      </c>
      <c r="U181" s="186" t="str">
        <f t="shared" ca="1" si="51"/>
        <v>novembre</v>
      </c>
      <c r="X181" s="347">
        <f t="shared" ca="1" si="55"/>
        <v>46326</v>
      </c>
      <c r="Y181" s="452" t="str">
        <f t="shared" ca="1" si="52"/>
        <v>Sam. novembre , 2026</v>
      </c>
      <c r="Z181" s="143">
        <f t="shared" ca="1" si="43"/>
        <v>30</v>
      </c>
      <c r="AA181" s="348">
        <f t="shared" ca="1" si="44"/>
        <v>11</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Sam</v>
      </c>
      <c r="U182" s="186" t="str">
        <f t="shared" ca="1" si="51"/>
        <v>novembre</v>
      </c>
      <c r="X182" s="347">
        <f t="shared" ca="1" si="55"/>
        <v>46326</v>
      </c>
      <c r="Y182" s="452" t="str">
        <f t="shared" ca="1" si="52"/>
        <v>Sam. novembre , 2026</v>
      </c>
      <c r="Z182" s="143">
        <f t="shared" ca="1" si="43"/>
        <v>30</v>
      </c>
      <c r="AA182" s="348">
        <f t="shared" ca="1" si="44"/>
        <v>11</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Sam</v>
      </c>
      <c r="U183" s="186" t="str">
        <f t="shared" ca="1" si="51"/>
        <v>novembre</v>
      </c>
      <c r="X183" s="347">
        <f t="shared" ca="1" si="55"/>
        <v>46326</v>
      </c>
      <c r="Y183" s="452" t="str">
        <f t="shared" ca="1" si="52"/>
        <v>Sam. novembre , 2026</v>
      </c>
      <c r="Z183" s="143">
        <f t="shared" ca="1" si="43"/>
        <v>30</v>
      </c>
      <c r="AA183" s="348">
        <f t="shared" ca="1" si="44"/>
        <v>11</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Sam</v>
      </c>
      <c r="U184" s="186" t="str">
        <f t="shared" ca="1" si="51"/>
        <v>novembre</v>
      </c>
      <c r="X184" s="347">
        <f t="shared" ca="1" si="55"/>
        <v>46326</v>
      </c>
      <c r="Y184" s="452" t="str">
        <f t="shared" ca="1" si="52"/>
        <v>Sam. novembre , 2026</v>
      </c>
      <c r="Z184" s="143">
        <f t="shared" ca="1" si="43"/>
        <v>30</v>
      </c>
      <c r="AA184" s="348">
        <f t="shared" ca="1" si="44"/>
        <v>11</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Sam</v>
      </c>
      <c r="U185" s="186" t="str">
        <f t="shared" ca="1" si="51"/>
        <v>novembre</v>
      </c>
      <c r="X185" s="347">
        <f t="shared" ca="1" si="55"/>
        <v>46326</v>
      </c>
      <c r="Y185" s="452" t="str">
        <f t="shared" ca="1" si="52"/>
        <v>Sam. novembre , 2026</v>
      </c>
      <c r="Z185" s="143">
        <f t="shared" ca="1" si="43"/>
        <v>30</v>
      </c>
      <c r="AA185" s="348">
        <f t="shared" ca="1" si="44"/>
        <v>11</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Sam</v>
      </c>
      <c r="U186" s="186" t="str">
        <f t="shared" ca="1" si="51"/>
        <v>novembre</v>
      </c>
      <c r="X186" s="347">
        <f t="shared" ca="1" si="55"/>
        <v>46326</v>
      </c>
      <c r="Y186" s="452" t="str">
        <f t="shared" ca="1" si="52"/>
        <v>Sam. novembre , 2026</v>
      </c>
      <c r="Z186" s="143">
        <f t="shared" ca="1" si="43"/>
        <v>30</v>
      </c>
      <c r="AA186" s="348">
        <f t="shared" ca="1" si="44"/>
        <v>11</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Sam</v>
      </c>
      <c r="U187" s="186" t="str">
        <f t="shared" ca="1" si="51"/>
        <v>novembre</v>
      </c>
      <c r="X187" s="347">
        <f t="shared" ca="1" si="55"/>
        <v>46326</v>
      </c>
      <c r="Y187" s="452" t="str">
        <f t="shared" ca="1" si="52"/>
        <v>Sam. novembre , 2026</v>
      </c>
      <c r="Z187" s="143">
        <f t="shared" ca="1" si="43"/>
        <v>30</v>
      </c>
      <c r="AA187" s="348">
        <f t="shared" ca="1" si="44"/>
        <v>11</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Sam</v>
      </c>
      <c r="U188" s="186" t="str">
        <f t="shared" ca="1" si="51"/>
        <v>novembre</v>
      </c>
      <c r="X188" s="347">
        <f t="shared" ca="1" si="55"/>
        <v>46326</v>
      </c>
      <c r="Y188" s="452" t="str">
        <f t="shared" ca="1" si="52"/>
        <v>Sam. novembre , 2026</v>
      </c>
      <c r="Z188" s="143">
        <f t="shared" ca="1" si="43"/>
        <v>30</v>
      </c>
      <c r="AA188" s="348">
        <f t="shared" ca="1" si="44"/>
        <v>11</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Sam</v>
      </c>
      <c r="U189" s="186" t="str">
        <f t="shared" ca="1" si="51"/>
        <v>novembre</v>
      </c>
      <c r="X189" s="347">
        <f t="shared" ca="1" si="55"/>
        <v>46326</v>
      </c>
      <c r="Y189" s="452" t="str">
        <f t="shared" ca="1" si="52"/>
        <v>Sam. novembre , 2026</v>
      </c>
      <c r="Z189" s="143">
        <f t="shared" ca="1" si="43"/>
        <v>30</v>
      </c>
      <c r="AA189" s="348">
        <f t="shared" ca="1" si="44"/>
        <v>11</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Sam</v>
      </c>
      <c r="U190" s="186" t="str">
        <f t="shared" ca="1" si="51"/>
        <v>novembre</v>
      </c>
      <c r="X190" s="347">
        <f t="shared" ca="1" si="55"/>
        <v>46326</v>
      </c>
      <c r="Y190" s="452" t="str">
        <f t="shared" ca="1" si="52"/>
        <v>Sam. novembre , 2026</v>
      </c>
      <c r="Z190" s="143">
        <f t="shared" ca="1" si="43"/>
        <v>30</v>
      </c>
      <c r="AA190" s="348">
        <f t="shared" ca="1" si="44"/>
        <v>11</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Sam</v>
      </c>
      <c r="U191" s="186" t="str">
        <f t="shared" ca="1" si="51"/>
        <v>novembre</v>
      </c>
      <c r="X191" s="347">
        <f t="shared" ca="1" si="55"/>
        <v>46326</v>
      </c>
      <c r="Y191" s="452" t="str">
        <f t="shared" ca="1" si="52"/>
        <v>Sam. novembre , 2026</v>
      </c>
      <c r="Z191" s="143">
        <f t="shared" ca="1" si="43"/>
        <v>30</v>
      </c>
      <c r="AA191" s="348">
        <f t="shared" ca="1" si="44"/>
        <v>11</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Sam</v>
      </c>
      <c r="U192" s="186" t="str">
        <f t="shared" ca="1" si="51"/>
        <v>novembre</v>
      </c>
      <c r="X192" s="347">
        <f t="shared" ca="1" si="55"/>
        <v>46326</v>
      </c>
      <c r="Y192" s="452" t="str">
        <f t="shared" ca="1" si="52"/>
        <v>Sam. novembre , 2026</v>
      </c>
      <c r="Z192" s="143">
        <f t="shared" ca="1" si="43"/>
        <v>30</v>
      </c>
      <c r="AA192" s="348">
        <f t="shared" ca="1" si="44"/>
        <v>11</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Sam</v>
      </c>
      <c r="U193" s="186" t="str">
        <f t="shared" ca="1" si="51"/>
        <v>novembre</v>
      </c>
      <c r="X193" s="347">
        <f t="shared" ca="1" si="55"/>
        <v>46326</v>
      </c>
      <c r="Y193" s="452" t="str">
        <f t="shared" ca="1" si="52"/>
        <v>Sam. novembre , 2026</v>
      </c>
      <c r="Z193" s="143">
        <f t="shared" ca="1" si="43"/>
        <v>30</v>
      </c>
      <c r="AA193" s="348">
        <f t="shared" ca="1" si="44"/>
        <v>11</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Sam</v>
      </c>
      <c r="U194" s="186" t="str">
        <f t="shared" ca="1" si="51"/>
        <v>novembre</v>
      </c>
      <c r="X194" s="347">
        <f t="shared" ca="1" si="55"/>
        <v>46326</v>
      </c>
      <c r="Y194" s="452" t="str">
        <f t="shared" ca="1" si="52"/>
        <v>Sam. novembre , 2026</v>
      </c>
      <c r="Z194" s="143">
        <f t="shared" ca="1" si="43"/>
        <v>30</v>
      </c>
      <c r="AA194" s="348">
        <f t="shared" ca="1" si="44"/>
        <v>11</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30</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30</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30</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30</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30</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149" priority="61" stopIfTrue="1">
      <formula>AND($AJ$2=$AF$5,$X$16=$X$13)</formula>
    </cfRule>
  </conditionalFormatting>
  <conditionalFormatting sqref="B18">
    <cfRule type="expression" dxfId="148" priority="40" stopIfTrue="1">
      <formula>(B18&gt;DATE(2000+$Y$2,$AA$21+1,1)-DATE(2000+$Y$2,$AA$21,1))</formula>
    </cfRule>
  </conditionalFormatting>
  <conditionalFormatting sqref="B20:B194">
    <cfRule type="expression" dxfId="147" priority="7" stopIfTrue="1">
      <formula>($G20="- -")</formula>
    </cfRule>
  </conditionalFormatting>
  <conditionalFormatting sqref="B16:J16">
    <cfRule type="expression" dxfId="146" priority="47" stopIfTrue="1">
      <formula>AND($AJ$2=$AF$5,$X$16=$X$13)</formula>
    </cfRule>
  </conditionalFormatting>
  <conditionalFormatting sqref="C17">
    <cfRule type="cellIs" dxfId="145" priority="46" stopIfTrue="1" operator="equal">
      <formula>"X"</formula>
    </cfRule>
  </conditionalFormatting>
  <conditionalFormatting sqref="C20:C194">
    <cfRule type="expression" dxfId="144" priority="15" stopIfTrue="1">
      <formula>($X$16=$X$14)</formula>
    </cfRule>
    <cfRule type="expression" dxfId="143" priority="16" stopIfTrue="1">
      <formula>($AV20=1)</formula>
    </cfRule>
    <cfRule type="expression" dxfId="142" priority="17" stopIfTrue="1">
      <formula>AND(D20=1+D19,G20=X20)</formula>
    </cfRule>
  </conditionalFormatting>
  <conditionalFormatting sqref="C9:J9">
    <cfRule type="expression" dxfId="141" priority="72" stopIfTrue="1">
      <formula>AND(ISNUMBER(C$9),ISNUMBER(C10),(C$9&gt;C$10))</formula>
    </cfRule>
  </conditionalFormatting>
  <conditionalFormatting sqref="C10:J10">
    <cfRule type="expression" dxfId="140" priority="78" stopIfTrue="1">
      <formula>AND(ISNUMBER(C$9),ISNUMBER(C10),(C$9&gt;C$10))</formula>
    </cfRule>
  </conditionalFormatting>
  <conditionalFormatting sqref="D20">
    <cfRule type="expression" dxfId="139" priority="19" stopIfTrue="1">
      <formula>AND($G20&lt;&gt;"- -",$G20&lt;&gt;$Y20)</formula>
    </cfRule>
    <cfRule type="expression" dxfId="138" priority="20" stopIfTrue="1">
      <formula>($AI20=1)</formula>
    </cfRule>
  </conditionalFormatting>
  <conditionalFormatting sqref="D21:D194">
    <cfRule type="expression" dxfId="137" priority="64" stopIfTrue="1">
      <formula>($AI21=1)</formula>
    </cfRule>
    <cfRule type="expression" dxfId="136" priority="63" stopIfTrue="1">
      <formula>AND($G21&lt;&gt;"- -",$G21&lt;&gt;$Y21)</formula>
    </cfRule>
  </conditionalFormatting>
  <conditionalFormatting sqref="D18:G19">
    <cfRule type="expression" dxfId="135" priority="39" stopIfTrue="1">
      <formula>($AB$16&lt;2)</formula>
    </cfRule>
  </conditionalFormatting>
  <conditionalFormatting sqref="D20:G194">
    <cfRule type="expression" dxfId="134" priority="18" stopIfTrue="1">
      <formula>OR($G20=$G19,$D20=$D19)</formula>
    </cfRule>
  </conditionalFormatting>
  <conditionalFormatting sqref="E8:F8">
    <cfRule type="expression" dxfId="133" priority="74" stopIfTrue="1">
      <formula>AND(ISNUMBER(E$9),ISNUMBER(E10),(E$9&gt;E$10))</formula>
    </cfRule>
    <cfRule type="expression" dxfId="132" priority="73" stopIfTrue="1">
      <formula>(BJ$13&gt;0)</formula>
    </cfRule>
  </conditionalFormatting>
  <conditionalFormatting sqref="E20:G20">
    <cfRule type="expression" dxfId="131" priority="23" stopIfTrue="1">
      <formula>($AI20+$AX20&gt;0)</formula>
    </cfRule>
    <cfRule type="expression" dxfId="130" priority="22" stopIfTrue="1">
      <formula>AND($G20&lt;&gt;"- -",$G20&lt;&gt;$Y20)</formula>
    </cfRule>
  </conditionalFormatting>
  <conditionalFormatting sqref="E21:G194">
    <cfRule type="expression" dxfId="129" priority="67" stopIfTrue="1">
      <formula>($AI21+$AX21&gt;0)</formula>
    </cfRule>
    <cfRule type="expression" dxfId="128" priority="66" stopIfTrue="1">
      <formula>AND($G21&lt;&gt;"- -",$G21&lt;&gt;$Y21)</formula>
    </cfRule>
  </conditionalFormatting>
  <conditionalFormatting sqref="G8:J8">
    <cfRule type="expression" dxfId="127" priority="76" stopIfTrue="1">
      <formula>AND(ISNUMBER(G$9),ISNUMBER(G10),(G$9&gt;G$10))</formula>
    </cfRule>
    <cfRule type="expression" dxfId="126" priority="75" stopIfTrue="1">
      <formula>(BK$13&gt;0)</formula>
    </cfRule>
  </conditionalFormatting>
  <conditionalFormatting sqref="H6:I7">
    <cfRule type="expression" dxfId="125" priority="77" stopIfTrue="1">
      <formula>AND(ISNUMBER($H$7),$H$7&lt;$I$7)</formula>
    </cfRule>
  </conditionalFormatting>
  <conditionalFormatting sqref="H21:J194">
    <cfRule type="expression" dxfId="124" priority="5" stopIfTrue="1">
      <formula>($D20=$D21)</formula>
    </cfRule>
  </conditionalFormatting>
  <conditionalFormatting sqref="J7">
    <cfRule type="cellIs" dxfId="123" priority="51" stopIfTrue="1" operator="lessThan">
      <formula>0</formula>
    </cfRule>
  </conditionalFormatting>
  <conditionalFormatting sqref="K20:K34">
    <cfRule type="expression" dxfId="122" priority="71" stopIfTrue="1">
      <formula>AND(ISNUMBER(K20),ISNUMBER(L20),OR(K20&lt;L19,K20&gt;L20))</formula>
    </cfRule>
  </conditionalFormatting>
  <conditionalFormatting sqref="K35:K194">
    <cfRule type="expression" dxfId="121" priority="60" stopIfTrue="1">
      <formula>AND(ISNUMBER(K35),OR(K35&lt;L34,K35&gt;L35,$BM35&lt;&gt;1))</formula>
    </cfRule>
  </conditionalFormatting>
  <conditionalFormatting sqref="K18:L18 BE19:BF19">
    <cfRule type="expression" dxfId="120" priority="29" stopIfTrue="1">
      <formula>($K$19=$AL$7)</formula>
    </cfRule>
  </conditionalFormatting>
  <conditionalFormatting sqref="K20:M194">
    <cfRule type="expression" dxfId="119" priority="53" stopIfTrue="1">
      <formula>OR($AJ$2=$AF$5,$AW20=0,$AV20=1,$AG20=99)</formula>
    </cfRule>
  </conditionalFormatting>
  <conditionalFormatting sqref="L20:L34">
    <cfRule type="expression" dxfId="118" priority="69" stopIfTrue="1">
      <formula>AND(ISNUMBER(L20),OR(AND(L20&lt;K19,B20&gt;1),K20&gt;L20))</formula>
    </cfRule>
  </conditionalFormatting>
  <conditionalFormatting sqref="L35:L194">
    <cfRule type="expression" dxfId="117" priority="58" stopIfTrue="1">
      <formula>AND(ISNUMBER(L35),OR(AND(L35&lt;K34,B35&gt;1),K35&gt;L35,$BN35&lt;&gt;1))</formula>
    </cfRule>
  </conditionalFormatting>
  <conditionalFormatting sqref="M19 BG20">
    <cfRule type="cellIs" dxfId="116" priority="44" stopIfTrue="1" operator="equal">
      <formula>0</formula>
    </cfRule>
    <cfRule type="expression" dxfId="115" priority="45" stopIfTrue="1">
      <formula>($AJ$2=$AF$5)</formula>
    </cfRule>
  </conditionalFormatting>
  <conditionalFormatting sqref="M20:M194">
    <cfRule type="cellIs" dxfId="114" priority="54" stopIfTrue="1" operator="lessThan">
      <formula>0</formula>
    </cfRule>
    <cfRule type="expression" dxfId="113" priority="55" stopIfTrue="1">
      <formula>($D19=$D20)</formula>
    </cfRule>
  </conditionalFormatting>
  <conditionalFormatting sqref="N19:Q19 BH20:BK20">
    <cfRule type="cellIs" dxfId="112" priority="42" stopIfTrue="1" operator="equal">
      <formula>0</formula>
    </cfRule>
    <cfRule type="expression" dxfId="111" priority="43" stopIfTrue="1">
      <formula>($AJ$2=$AF$5)</formula>
    </cfRule>
  </conditionalFormatting>
  <conditionalFormatting sqref="N20:Q194">
    <cfRule type="expression" dxfId="110" priority="52" stopIfTrue="1">
      <formula>OR($AW20=0,$AV20=1,$AG20=99,$AJ$2=$AF$5)</formula>
    </cfRule>
  </conditionalFormatting>
  <conditionalFormatting sqref="R20:R194">
    <cfRule type="expression" dxfId="109" priority="14" stopIfTrue="1">
      <formula>($AI20=1)</formula>
    </cfRule>
    <cfRule type="expression" dxfId="108" priority="13" stopIfTrue="1">
      <formula>"ND($G21&lt;&gt;""- -"",$G21&lt;&gt;TEXT(X21,""Dddd, Mmmm dd, Yyyy""))"</formula>
    </cfRule>
    <cfRule type="expression" dxfId="107" priority="12" stopIfTrue="1">
      <formula>OR($G20=$G19,$D20=$D19)</formula>
    </cfRule>
  </conditionalFormatting>
  <conditionalFormatting sqref="U5">
    <cfRule type="expression" dxfId="106" priority="25" stopIfTrue="1">
      <formula>OR($AC$7,$AC$6)</formula>
    </cfRule>
  </conditionalFormatting>
  <conditionalFormatting sqref="U18 X20:Z194 AC20:AE194 AK20:AK194 AQ20:AR194">
    <cfRule type="cellIs" dxfId="105" priority="6" stopIfTrue="1" operator="notEqual">
      <formula>U17</formula>
    </cfRule>
  </conditionalFormatting>
  <conditionalFormatting sqref="U201:AB201">
    <cfRule type="expression" dxfId="104" priority="41" stopIfTrue="1">
      <formula>(LEN($X$11)&gt;4)</formula>
    </cfRule>
  </conditionalFormatting>
  <conditionalFormatting sqref="V5:V7 J6 U6:U7">
    <cfRule type="expression" dxfId="103" priority="24" stopIfTrue="1">
      <formula>OR($AC$7,$AC$6,#REF!)</formula>
    </cfRule>
  </conditionalFormatting>
  <conditionalFormatting sqref="V19">
    <cfRule type="cellIs" dxfId="102" priority="26" stopIfTrue="1" operator="equal">
      <formula>1</formula>
    </cfRule>
  </conditionalFormatting>
  <conditionalFormatting sqref="AB6">
    <cfRule type="expression" dxfId="101" priority="32" stopIfTrue="1">
      <formula>$AC$6</formula>
    </cfRule>
  </conditionalFormatting>
  <conditionalFormatting sqref="AB7">
    <cfRule type="expression" dxfId="100" priority="31" stopIfTrue="1">
      <formula>$AC$7</formula>
    </cfRule>
  </conditionalFormatting>
  <conditionalFormatting sqref="AB20:AB194">
    <cfRule type="cellIs" dxfId="99" priority="49" stopIfTrue="1" operator="greaterThan">
      <formula>0</formula>
    </cfRule>
    <cfRule type="cellIs" dxfId="98" priority="50" stopIfTrue="1" operator="lessThan">
      <formula>0</formula>
    </cfRule>
  </conditionalFormatting>
  <conditionalFormatting sqref="AF20:AG194">
    <cfRule type="cellIs" dxfId="97" priority="35" stopIfTrue="1" operator="greaterThan">
      <formula>1</formula>
    </cfRule>
  </conditionalFormatting>
  <conditionalFormatting sqref="AJ16:AJ17 AJ20:AJ194">
    <cfRule type="cellIs" dxfId="96" priority="34" stopIfTrue="1" operator="greaterThan">
      <formula>0</formula>
    </cfRule>
  </conditionalFormatting>
  <conditionalFormatting sqref="AK2:BO2">
    <cfRule type="cellIs" dxfId="95" priority="38" stopIfTrue="1" operator="equal">
      <formula>0</formula>
    </cfRule>
  </conditionalFormatting>
  <conditionalFormatting sqref="AK5:BO6">
    <cfRule type="cellIs" dxfId="94" priority="33" stopIfTrue="1" operator="equal">
      <formula>0</formula>
    </cfRule>
  </conditionalFormatting>
  <conditionalFormatting sqref="AP20:AP194">
    <cfRule type="cellIs" dxfId="93" priority="28" stopIfTrue="1" operator="lessThan">
      <formula>999</formula>
    </cfRule>
  </conditionalFormatting>
  <conditionalFormatting sqref="AU20:AU194">
    <cfRule type="expression" dxfId="92" priority="37" stopIfTrue="1">
      <formula>LEN(AU20)&gt;2</formula>
    </cfRule>
  </conditionalFormatting>
  <conditionalFormatting sqref="AV20:AV194">
    <cfRule type="cellIs" dxfId="91" priority="36" stopIfTrue="1" operator="equal">
      <formula>1</formula>
    </cfRule>
  </conditionalFormatting>
  <conditionalFormatting sqref="AW20:AW194">
    <cfRule type="cellIs" dxfId="90" priority="48" stopIfTrue="1" operator="equal">
      <formula>0</formula>
    </cfRule>
  </conditionalFormatting>
  <conditionalFormatting sqref="BE20:BF20">
    <cfRule type="expression" dxfId="89" priority="30" stopIfTrue="1">
      <formula>($K$19=$AL$7)</formula>
    </cfRule>
  </conditionalFormatting>
  <conditionalFormatting sqref="BI10:BI12 BF11:BF12">
    <cfRule type="expression" dxfId="88" priority="9" stopIfTrue="1">
      <formula>(LEN($C$9)=0)</formula>
    </cfRule>
  </conditionalFormatting>
  <conditionalFormatting sqref="BI10:BN12 BF11:BF12">
    <cfRule type="expression" dxfId="87" priority="8" stopIfTrue="1">
      <formula>LEN($AA9)&gt;4</formula>
    </cfRule>
  </conditionalFormatting>
  <conditionalFormatting sqref="BJ10:BN12">
    <cfRule type="expression" dxfId="86" priority="11" stopIfTrue="1">
      <formula>(LEN(E$9)=0)</formula>
    </cfRule>
  </conditionalFormatting>
  <conditionalFormatting sqref="BJ13:BN13 R16:R17">
    <cfRule type="cellIs" dxfId="85" priority="27" stopIfTrue="1" operator="equal">
      <formula>0</formula>
    </cfRule>
  </conditionalFormatting>
  <conditionalFormatting sqref="BM20:BN194">
    <cfRule type="cellIs" dxfId="84" priority="56" stopIfTrue="1" operator="notEqual">
      <formula>1</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automobile/2026/[electronic-car-log-2025-fr.xlsx]12</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12</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décembre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December</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12</v>
      </c>
      <c r="AE6" s="144" t="str">
        <f ca="1">TEXT(DATE($AE$7,$AD$6,1),"Mmmm, YYYY")</f>
        <v>December,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46356</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décembre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December</v>
      </c>
      <c r="V18" s="510" t="str">
        <f ca="1">AE6</f>
        <v>December,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décembre</v>
      </c>
      <c r="V19" s="510" t="str">
        <f ca="1">U19&amp;" "&amp;Year_four_digits</f>
        <v>décembre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Mar.  1 décembre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Mar</v>
      </c>
      <c r="U20" s="186" t="str">
        <f ca="1">$U$19</f>
        <v>décembre</v>
      </c>
      <c r="X20" s="347">
        <f ca="1">$AE$8+D20</f>
        <v>46357</v>
      </c>
      <c r="Y20" s="452" t="str">
        <f ca="1">IF(Y14="f",T20&amp;". "&amp;" "&amp;R20&amp;" "&amp;U20&amp;" "&amp;$AE$7,T20&amp;". "&amp;U20&amp;" "&amp;R20&amp;", "&amp;$AE$7)</f>
        <v>Mar.  1 décembre 2026</v>
      </c>
      <c r="Z20" s="143">
        <f t="shared" ref="Z20:Z83" ca="1" si="4">MIN(R20,$AF$5)</f>
        <v>1</v>
      </c>
      <c r="AA20" s="348">
        <f t="shared" ref="AA20:AA83" ca="1" si="5">$AD$6</f>
        <v>12</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Lun</v>
      </c>
      <c r="U21" s="186" t="str">
        <f t="shared" ref="U21:U84" ca="1" si="13">$U$19</f>
        <v>décembre</v>
      </c>
      <c r="X21" s="347">
        <f ca="1">$AE$8+D21</f>
        <v>46356</v>
      </c>
      <c r="Y21" s="452" t="str">
        <f t="shared" ref="Y21:Y84" ca="1" si="14">IF(Y15="f",T21&amp;". "&amp;" "&amp;R21&amp;" "&amp;U21&amp;" "&amp;$AE$7,T21&amp;". "&amp;U21&amp;" "&amp;R21&amp;", "&amp;$AE$7)</f>
        <v>Lun. décembre , 2026</v>
      </c>
      <c r="Z21" s="143">
        <f t="shared" ca="1" si="4"/>
        <v>31</v>
      </c>
      <c r="AA21" s="348">
        <f t="shared" ca="1" si="5"/>
        <v>12</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Lun</v>
      </c>
      <c r="U22" s="186" t="str">
        <f t="shared" ca="1" si="13"/>
        <v>décembre</v>
      </c>
      <c r="X22" s="347">
        <f t="shared" ref="X22:X85" ca="1" si="17">$AE$8+D22</f>
        <v>46356</v>
      </c>
      <c r="Y22" s="452" t="str">
        <f t="shared" ca="1" si="14"/>
        <v>Lun. décembre , 2026</v>
      </c>
      <c r="Z22" s="143">
        <f t="shared" ca="1" si="4"/>
        <v>31</v>
      </c>
      <c r="AA22" s="348">
        <f t="shared" ca="1" si="5"/>
        <v>12</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Lun</v>
      </c>
      <c r="U23" s="186" t="str">
        <f t="shared" ca="1" si="13"/>
        <v>décembre</v>
      </c>
      <c r="X23" s="347">
        <f t="shared" ca="1" si="17"/>
        <v>46356</v>
      </c>
      <c r="Y23" s="452" t="str">
        <f t="shared" ca="1" si="14"/>
        <v>Lun. décembre , 2026</v>
      </c>
      <c r="Z23" s="143">
        <f t="shared" ca="1" si="4"/>
        <v>31</v>
      </c>
      <c r="AA23" s="348">
        <f t="shared" ca="1" si="5"/>
        <v>12</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Lun</v>
      </c>
      <c r="U24" s="186" t="str">
        <f t="shared" ca="1" si="13"/>
        <v>décembre</v>
      </c>
      <c r="X24" s="347">
        <f t="shared" ca="1" si="17"/>
        <v>46356</v>
      </c>
      <c r="Y24" s="452" t="str">
        <f t="shared" ca="1" si="14"/>
        <v>Lun. décembre , 2026</v>
      </c>
      <c r="Z24" s="143">
        <f t="shared" ca="1" si="4"/>
        <v>31</v>
      </c>
      <c r="AA24" s="348">
        <f t="shared" ca="1" si="5"/>
        <v>12</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Lun</v>
      </c>
      <c r="U25" s="186" t="str">
        <f t="shared" ca="1" si="13"/>
        <v>décembre</v>
      </c>
      <c r="X25" s="347">
        <f t="shared" ca="1" si="17"/>
        <v>46356</v>
      </c>
      <c r="Y25" s="452" t="str">
        <f t="shared" ca="1" si="14"/>
        <v>Lun. décembre , 2026</v>
      </c>
      <c r="Z25" s="143">
        <f t="shared" ca="1" si="4"/>
        <v>31</v>
      </c>
      <c r="AA25" s="348">
        <f t="shared" ca="1" si="5"/>
        <v>12</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Lun</v>
      </c>
      <c r="U26" s="186" t="str">
        <f t="shared" ca="1" si="13"/>
        <v>décembre</v>
      </c>
      <c r="X26" s="347">
        <f t="shared" ca="1" si="17"/>
        <v>46356</v>
      </c>
      <c r="Y26" s="452" t="str">
        <f t="shared" ca="1" si="14"/>
        <v>Lun. décembre , 2026</v>
      </c>
      <c r="Z26" s="143">
        <f t="shared" ca="1" si="4"/>
        <v>31</v>
      </c>
      <c r="AA26" s="348">
        <f t="shared" ca="1" si="5"/>
        <v>12</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Lun</v>
      </c>
      <c r="U27" s="186" t="str">
        <f t="shared" ca="1" si="13"/>
        <v>décembre</v>
      </c>
      <c r="X27" s="347">
        <f t="shared" ca="1" si="17"/>
        <v>46356</v>
      </c>
      <c r="Y27" s="452" t="str">
        <f t="shared" ca="1" si="14"/>
        <v>Lun. décembre , 2026</v>
      </c>
      <c r="Z27" s="143">
        <f t="shared" ca="1" si="4"/>
        <v>31</v>
      </c>
      <c r="AA27" s="348">
        <f t="shared" ca="1" si="5"/>
        <v>12</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Lun</v>
      </c>
      <c r="U28" s="186" t="str">
        <f t="shared" ca="1" si="13"/>
        <v>décembre</v>
      </c>
      <c r="X28" s="347">
        <f t="shared" ca="1" si="17"/>
        <v>46356</v>
      </c>
      <c r="Y28" s="452" t="str">
        <f t="shared" ca="1" si="14"/>
        <v>Lun. décembre , 2026</v>
      </c>
      <c r="Z28" s="143">
        <f t="shared" ca="1" si="4"/>
        <v>31</v>
      </c>
      <c r="AA28" s="348">
        <f t="shared" ca="1" si="5"/>
        <v>12</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Lun</v>
      </c>
      <c r="U29" s="186" t="str">
        <f t="shared" ca="1" si="13"/>
        <v>décembre</v>
      </c>
      <c r="X29" s="347">
        <f t="shared" ca="1" si="17"/>
        <v>46356</v>
      </c>
      <c r="Y29" s="452" t="str">
        <f t="shared" ca="1" si="14"/>
        <v>Lun. décembre , 2026</v>
      </c>
      <c r="Z29" s="143">
        <f t="shared" ca="1" si="4"/>
        <v>31</v>
      </c>
      <c r="AA29" s="348">
        <f t="shared" ca="1" si="5"/>
        <v>12</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Lun</v>
      </c>
      <c r="U30" s="186" t="str">
        <f t="shared" ca="1" si="13"/>
        <v>décembre</v>
      </c>
      <c r="X30" s="347">
        <f t="shared" ca="1" si="17"/>
        <v>46356</v>
      </c>
      <c r="Y30" s="452" t="str">
        <f t="shared" ca="1" si="14"/>
        <v>Lun. décembre , 2026</v>
      </c>
      <c r="Z30" s="143">
        <f t="shared" ca="1" si="4"/>
        <v>31</v>
      </c>
      <c r="AA30" s="348">
        <f t="shared" ca="1" si="5"/>
        <v>12</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Lun</v>
      </c>
      <c r="U31" s="186" t="str">
        <f t="shared" ca="1" si="13"/>
        <v>décembre</v>
      </c>
      <c r="X31" s="347">
        <f t="shared" ca="1" si="17"/>
        <v>46356</v>
      </c>
      <c r="Y31" s="452" t="str">
        <f t="shared" ca="1" si="14"/>
        <v>Lun. décembre , 2026</v>
      </c>
      <c r="Z31" s="143">
        <f t="shared" ca="1" si="4"/>
        <v>31</v>
      </c>
      <c r="AA31" s="348">
        <f t="shared" ca="1" si="5"/>
        <v>12</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Lun</v>
      </c>
      <c r="U32" s="186" t="str">
        <f t="shared" ca="1" si="13"/>
        <v>décembre</v>
      </c>
      <c r="X32" s="347">
        <f t="shared" ca="1" si="17"/>
        <v>46356</v>
      </c>
      <c r="Y32" s="452" t="str">
        <f t="shared" ca="1" si="14"/>
        <v>Lun. décembre , 2026</v>
      </c>
      <c r="Z32" s="143">
        <f t="shared" ca="1" si="4"/>
        <v>31</v>
      </c>
      <c r="AA32" s="348">
        <f t="shared" ca="1" si="5"/>
        <v>12</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Lun</v>
      </c>
      <c r="U33" s="186" t="str">
        <f t="shared" ca="1" si="13"/>
        <v>décembre</v>
      </c>
      <c r="X33" s="347">
        <f t="shared" ca="1" si="17"/>
        <v>46356</v>
      </c>
      <c r="Y33" s="452" t="str">
        <f t="shared" ca="1" si="14"/>
        <v>Lun. décembre , 2026</v>
      </c>
      <c r="Z33" s="143">
        <f t="shared" ca="1" si="4"/>
        <v>31</v>
      </c>
      <c r="AA33" s="348">
        <f t="shared" ca="1" si="5"/>
        <v>12</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Lun</v>
      </c>
      <c r="U34" s="186" t="str">
        <f t="shared" ca="1" si="13"/>
        <v>décembre</v>
      </c>
      <c r="X34" s="347">
        <f t="shared" ca="1" si="17"/>
        <v>46356</v>
      </c>
      <c r="Y34" s="452" t="str">
        <f t="shared" ca="1" si="14"/>
        <v>Lun. décembre , 2026</v>
      </c>
      <c r="Z34" s="143">
        <f t="shared" ca="1" si="4"/>
        <v>31</v>
      </c>
      <c r="AA34" s="348">
        <f t="shared" ca="1" si="5"/>
        <v>12</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Lun</v>
      </c>
      <c r="U35" s="186" t="str">
        <f t="shared" ca="1" si="13"/>
        <v>décembre</v>
      </c>
      <c r="X35" s="347">
        <f t="shared" ca="1" si="17"/>
        <v>46356</v>
      </c>
      <c r="Y35" s="452" t="str">
        <f t="shared" ca="1" si="14"/>
        <v>Lun. décembre , 2026</v>
      </c>
      <c r="Z35" s="143">
        <f t="shared" ca="1" si="4"/>
        <v>31</v>
      </c>
      <c r="AA35" s="348">
        <f t="shared" ca="1" si="5"/>
        <v>12</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Lun</v>
      </c>
      <c r="U36" s="186" t="str">
        <f t="shared" ca="1" si="13"/>
        <v>décembre</v>
      </c>
      <c r="X36" s="347">
        <f t="shared" ca="1" si="17"/>
        <v>46356</v>
      </c>
      <c r="Y36" s="452" t="str">
        <f t="shared" ca="1" si="14"/>
        <v>Lun. décembre , 2026</v>
      </c>
      <c r="Z36" s="143">
        <f t="shared" ca="1" si="4"/>
        <v>31</v>
      </c>
      <c r="AA36" s="348">
        <f t="shared" ca="1" si="5"/>
        <v>12</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Lun</v>
      </c>
      <c r="U37" s="186" t="str">
        <f t="shared" ca="1" si="13"/>
        <v>décembre</v>
      </c>
      <c r="X37" s="347">
        <f t="shared" ca="1" si="17"/>
        <v>46356</v>
      </c>
      <c r="Y37" s="452" t="str">
        <f t="shared" ca="1" si="14"/>
        <v>Lun. décembre , 2026</v>
      </c>
      <c r="Z37" s="143">
        <f t="shared" ca="1" si="4"/>
        <v>31</v>
      </c>
      <c r="AA37" s="348">
        <f t="shared" ca="1" si="5"/>
        <v>12</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Lun</v>
      </c>
      <c r="U38" s="186" t="str">
        <f t="shared" ca="1" si="13"/>
        <v>décembre</v>
      </c>
      <c r="X38" s="347">
        <f t="shared" ca="1" si="17"/>
        <v>46356</v>
      </c>
      <c r="Y38" s="452" t="str">
        <f t="shared" ca="1" si="14"/>
        <v>Lun. décembre , 2026</v>
      </c>
      <c r="Z38" s="143">
        <f t="shared" ca="1" si="4"/>
        <v>31</v>
      </c>
      <c r="AA38" s="348">
        <f t="shared" ca="1" si="5"/>
        <v>12</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Lun</v>
      </c>
      <c r="U39" s="186" t="str">
        <f t="shared" ca="1" si="13"/>
        <v>décembre</v>
      </c>
      <c r="X39" s="347">
        <f t="shared" ca="1" si="17"/>
        <v>46356</v>
      </c>
      <c r="Y39" s="452" t="str">
        <f t="shared" ca="1" si="14"/>
        <v>Lun. décembre , 2026</v>
      </c>
      <c r="Z39" s="143">
        <f t="shared" ca="1" si="4"/>
        <v>31</v>
      </c>
      <c r="AA39" s="348">
        <f t="shared" ca="1" si="5"/>
        <v>12</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Lun</v>
      </c>
      <c r="U40" s="186" t="str">
        <f t="shared" ca="1" si="13"/>
        <v>décembre</v>
      </c>
      <c r="X40" s="347">
        <f t="shared" ca="1" si="17"/>
        <v>46356</v>
      </c>
      <c r="Y40" s="452" t="str">
        <f t="shared" ca="1" si="14"/>
        <v>Lun. décembre , 2026</v>
      </c>
      <c r="Z40" s="143">
        <f t="shared" ca="1" si="4"/>
        <v>31</v>
      </c>
      <c r="AA40" s="348">
        <f t="shared" ca="1" si="5"/>
        <v>12</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Lun</v>
      </c>
      <c r="U41" s="186" t="str">
        <f t="shared" ca="1" si="13"/>
        <v>décembre</v>
      </c>
      <c r="X41" s="347">
        <f t="shared" ca="1" si="17"/>
        <v>46356</v>
      </c>
      <c r="Y41" s="452" t="str">
        <f t="shared" ca="1" si="14"/>
        <v>Lun. décembre , 2026</v>
      </c>
      <c r="Z41" s="143">
        <f t="shared" ca="1" si="4"/>
        <v>31</v>
      </c>
      <c r="AA41" s="348">
        <f t="shared" ca="1" si="5"/>
        <v>12</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Lun</v>
      </c>
      <c r="U42" s="186" t="str">
        <f t="shared" ca="1" si="13"/>
        <v>décembre</v>
      </c>
      <c r="X42" s="347">
        <f t="shared" ca="1" si="17"/>
        <v>46356</v>
      </c>
      <c r="Y42" s="452" t="str">
        <f t="shared" ca="1" si="14"/>
        <v>Lun. décembre , 2026</v>
      </c>
      <c r="Z42" s="143">
        <f t="shared" ca="1" si="4"/>
        <v>31</v>
      </c>
      <c r="AA42" s="348">
        <f t="shared" ca="1" si="5"/>
        <v>12</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Lun</v>
      </c>
      <c r="U43" s="186" t="str">
        <f t="shared" ca="1" si="13"/>
        <v>décembre</v>
      </c>
      <c r="X43" s="347">
        <f t="shared" ca="1" si="17"/>
        <v>46356</v>
      </c>
      <c r="Y43" s="452" t="str">
        <f t="shared" ca="1" si="14"/>
        <v>Lun. décembre , 2026</v>
      </c>
      <c r="Z43" s="143">
        <f t="shared" ca="1" si="4"/>
        <v>31</v>
      </c>
      <c r="AA43" s="348">
        <f t="shared" ca="1" si="5"/>
        <v>12</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Lun</v>
      </c>
      <c r="U44" s="186" t="str">
        <f t="shared" ca="1" si="13"/>
        <v>décembre</v>
      </c>
      <c r="X44" s="347">
        <f t="shared" ca="1" si="17"/>
        <v>46356</v>
      </c>
      <c r="Y44" s="452" t="str">
        <f t="shared" ca="1" si="14"/>
        <v>Lun. décembre , 2026</v>
      </c>
      <c r="Z44" s="143">
        <f t="shared" ca="1" si="4"/>
        <v>31</v>
      </c>
      <c r="AA44" s="348">
        <f t="shared" ca="1" si="5"/>
        <v>12</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Lun</v>
      </c>
      <c r="U45" s="186" t="str">
        <f t="shared" ca="1" si="13"/>
        <v>décembre</v>
      </c>
      <c r="X45" s="347">
        <f t="shared" ca="1" si="17"/>
        <v>46356</v>
      </c>
      <c r="Y45" s="452" t="str">
        <f t="shared" ca="1" si="14"/>
        <v>Lun. décembre , 2026</v>
      </c>
      <c r="Z45" s="143">
        <f t="shared" ca="1" si="4"/>
        <v>31</v>
      </c>
      <c r="AA45" s="348">
        <f t="shared" ca="1" si="5"/>
        <v>12</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Lun</v>
      </c>
      <c r="U46" s="186" t="str">
        <f t="shared" ca="1" si="13"/>
        <v>décembre</v>
      </c>
      <c r="X46" s="347">
        <f t="shared" ca="1" si="17"/>
        <v>46356</v>
      </c>
      <c r="Y46" s="452" t="str">
        <f t="shared" ca="1" si="14"/>
        <v>Lun. décembre , 2026</v>
      </c>
      <c r="Z46" s="143">
        <f t="shared" ca="1" si="4"/>
        <v>31</v>
      </c>
      <c r="AA46" s="348">
        <f t="shared" ca="1" si="5"/>
        <v>12</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Lun</v>
      </c>
      <c r="U47" s="186" t="str">
        <f t="shared" ca="1" si="13"/>
        <v>décembre</v>
      </c>
      <c r="X47" s="347">
        <f t="shared" ca="1" si="17"/>
        <v>46356</v>
      </c>
      <c r="Y47" s="452" t="str">
        <f t="shared" ca="1" si="14"/>
        <v>Lun. décembre , 2026</v>
      </c>
      <c r="Z47" s="143">
        <f t="shared" ca="1" si="4"/>
        <v>31</v>
      </c>
      <c r="AA47" s="348">
        <f t="shared" ca="1" si="5"/>
        <v>12</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Lun</v>
      </c>
      <c r="U48" s="186" t="str">
        <f t="shared" ca="1" si="13"/>
        <v>décembre</v>
      </c>
      <c r="X48" s="347">
        <f t="shared" ca="1" si="17"/>
        <v>46356</v>
      </c>
      <c r="Y48" s="452" t="str">
        <f t="shared" ca="1" si="14"/>
        <v>Lun. décembre , 2026</v>
      </c>
      <c r="Z48" s="143">
        <f t="shared" ca="1" si="4"/>
        <v>31</v>
      </c>
      <c r="AA48" s="348">
        <f t="shared" ca="1" si="5"/>
        <v>12</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Lun</v>
      </c>
      <c r="U49" s="186" t="str">
        <f t="shared" ca="1" si="13"/>
        <v>décembre</v>
      </c>
      <c r="X49" s="347">
        <f t="shared" ca="1" si="17"/>
        <v>46356</v>
      </c>
      <c r="Y49" s="452" t="str">
        <f t="shared" ca="1" si="14"/>
        <v>Lun. décembre , 2026</v>
      </c>
      <c r="Z49" s="143">
        <f t="shared" ca="1" si="4"/>
        <v>31</v>
      </c>
      <c r="AA49" s="348">
        <f t="shared" ca="1" si="5"/>
        <v>12</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Lun</v>
      </c>
      <c r="U50" s="186" t="str">
        <f t="shared" ca="1" si="13"/>
        <v>décembre</v>
      </c>
      <c r="X50" s="347">
        <f t="shared" ca="1" si="17"/>
        <v>46356</v>
      </c>
      <c r="Y50" s="452" t="str">
        <f t="shared" ca="1" si="14"/>
        <v>Lun. décembre , 2026</v>
      </c>
      <c r="Z50" s="143">
        <f t="shared" ca="1" si="4"/>
        <v>31</v>
      </c>
      <c r="AA50" s="348">
        <f t="shared" ca="1" si="5"/>
        <v>12</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Lun</v>
      </c>
      <c r="U51" s="186" t="str">
        <f t="shared" ca="1" si="13"/>
        <v>décembre</v>
      </c>
      <c r="X51" s="347">
        <f t="shared" ca="1" si="17"/>
        <v>46356</v>
      </c>
      <c r="Y51" s="452" t="str">
        <f t="shared" ca="1" si="14"/>
        <v>Lun. décembre , 2026</v>
      </c>
      <c r="Z51" s="143">
        <f t="shared" ca="1" si="4"/>
        <v>31</v>
      </c>
      <c r="AA51" s="348">
        <f t="shared" ca="1" si="5"/>
        <v>12</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Lun</v>
      </c>
      <c r="U52" s="186" t="str">
        <f t="shared" ca="1" si="13"/>
        <v>décembre</v>
      </c>
      <c r="X52" s="347">
        <f t="shared" ca="1" si="17"/>
        <v>46356</v>
      </c>
      <c r="Y52" s="452" t="str">
        <f t="shared" ca="1" si="14"/>
        <v>Lun. décembre , 2026</v>
      </c>
      <c r="Z52" s="143">
        <f t="shared" ca="1" si="4"/>
        <v>31</v>
      </c>
      <c r="AA52" s="348">
        <f t="shared" ca="1" si="5"/>
        <v>12</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Lun</v>
      </c>
      <c r="U53" s="186" t="str">
        <f t="shared" ca="1" si="13"/>
        <v>décembre</v>
      </c>
      <c r="X53" s="347">
        <f t="shared" ca="1" si="17"/>
        <v>46356</v>
      </c>
      <c r="Y53" s="452" t="str">
        <f t="shared" ca="1" si="14"/>
        <v>Lun. décembre , 2026</v>
      </c>
      <c r="Z53" s="143">
        <f t="shared" ca="1" si="4"/>
        <v>31</v>
      </c>
      <c r="AA53" s="348">
        <f t="shared" ca="1" si="5"/>
        <v>12</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Lun</v>
      </c>
      <c r="U54" s="186" t="str">
        <f t="shared" ca="1" si="13"/>
        <v>décembre</v>
      </c>
      <c r="X54" s="347">
        <f t="shared" ca="1" si="17"/>
        <v>46356</v>
      </c>
      <c r="Y54" s="452" t="str">
        <f t="shared" ca="1" si="14"/>
        <v>Lun. décembre , 2026</v>
      </c>
      <c r="Z54" s="143">
        <f t="shared" ca="1" si="4"/>
        <v>31</v>
      </c>
      <c r="AA54" s="348">
        <f t="shared" ca="1" si="5"/>
        <v>12</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Lun</v>
      </c>
      <c r="U55" s="186" t="str">
        <f t="shared" ca="1" si="13"/>
        <v>décembre</v>
      </c>
      <c r="X55" s="347">
        <f t="shared" ca="1" si="17"/>
        <v>46356</v>
      </c>
      <c r="Y55" s="452" t="str">
        <f t="shared" ca="1" si="14"/>
        <v>Lun. décembre , 2026</v>
      </c>
      <c r="Z55" s="143">
        <f t="shared" ca="1" si="4"/>
        <v>31</v>
      </c>
      <c r="AA55" s="348">
        <f t="shared" ca="1" si="5"/>
        <v>12</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Lun</v>
      </c>
      <c r="U56" s="186" t="str">
        <f t="shared" ca="1" si="13"/>
        <v>décembre</v>
      </c>
      <c r="X56" s="347">
        <f t="shared" ca="1" si="17"/>
        <v>46356</v>
      </c>
      <c r="Y56" s="452" t="str">
        <f t="shared" ca="1" si="14"/>
        <v>Lun. décembre , 2026</v>
      </c>
      <c r="Z56" s="143">
        <f t="shared" ca="1" si="4"/>
        <v>31</v>
      </c>
      <c r="AA56" s="348">
        <f t="shared" ca="1" si="5"/>
        <v>12</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Lun</v>
      </c>
      <c r="U57" s="186" t="str">
        <f t="shared" ca="1" si="13"/>
        <v>décembre</v>
      </c>
      <c r="X57" s="347">
        <f t="shared" ca="1" si="17"/>
        <v>46356</v>
      </c>
      <c r="Y57" s="452" t="str">
        <f t="shared" ca="1" si="14"/>
        <v>Lun. décembre , 2026</v>
      </c>
      <c r="Z57" s="143">
        <f t="shared" ca="1" si="4"/>
        <v>31</v>
      </c>
      <c r="AA57" s="348">
        <f t="shared" ca="1" si="5"/>
        <v>12</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Lun</v>
      </c>
      <c r="U58" s="186" t="str">
        <f t="shared" ca="1" si="13"/>
        <v>décembre</v>
      </c>
      <c r="X58" s="347">
        <f t="shared" ca="1" si="17"/>
        <v>46356</v>
      </c>
      <c r="Y58" s="452" t="str">
        <f t="shared" ca="1" si="14"/>
        <v>Lun. décembre , 2026</v>
      </c>
      <c r="Z58" s="143">
        <f t="shared" ca="1" si="4"/>
        <v>31</v>
      </c>
      <c r="AA58" s="348">
        <f t="shared" ca="1" si="5"/>
        <v>12</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Lun</v>
      </c>
      <c r="U59" s="186" t="str">
        <f t="shared" ca="1" si="13"/>
        <v>décembre</v>
      </c>
      <c r="X59" s="347">
        <f t="shared" ca="1" si="17"/>
        <v>46356</v>
      </c>
      <c r="Y59" s="452" t="str">
        <f t="shared" ca="1" si="14"/>
        <v>Lun. décembre , 2026</v>
      </c>
      <c r="Z59" s="143">
        <f t="shared" ca="1" si="4"/>
        <v>31</v>
      </c>
      <c r="AA59" s="348">
        <f t="shared" ca="1" si="5"/>
        <v>12</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Lun</v>
      </c>
      <c r="U60" s="186" t="str">
        <f t="shared" ca="1" si="13"/>
        <v>décembre</v>
      </c>
      <c r="X60" s="347">
        <f t="shared" ca="1" si="17"/>
        <v>46356</v>
      </c>
      <c r="Y60" s="452" t="str">
        <f t="shared" ca="1" si="14"/>
        <v>Lun. décembre , 2026</v>
      </c>
      <c r="Z60" s="143">
        <f t="shared" ca="1" si="4"/>
        <v>31</v>
      </c>
      <c r="AA60" s="348">
        <f t="shared" ca="1" si="5"/>
        <v>12</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Lun</v>
      </c>
      <c r="U61" s="186" t="str">
        <f t="shared" ca="1" si="13"/>
        <v>décembre</v>
      </c>
      <c r="X61" s="347">
        <f t="shared" ca="1" si="17"/>
        <v>46356</v>
      </c>
      <c r="Y61" s="452" t="str">
        <f t="shared" ca="1" si="14"/>
        <v>Lun. décembre , 2026</v>
      </c>
      <c r="Z61" s="143">
        <f t="shared" ca="1" si="4"/>
        <v>31</v>
      </c>
      <c r="AA61" s="348">
        <f t="shared" ca="1" si="5"/>
        <v>12</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Lun</v>
      </c>
      <c r="U62" s="186" t="str">
        <f t="shared" ca="1" si="13"/>
        <v>décembre</v>
      </c>
      <c r="X62" s="347">
        <f t="shared" ca="1" si="17"/>
        <v>46356</v>
      </c>
      <c r="Y62" s="452" t="str">
        <f t="shared" ca="1" si="14"/>
        <v>Lun. décembre , 2026</v>
      </c>
      <c r="Z62" s="143">
        <f t="shared" ca="1" si="4"/>
        <v>31</v>
      </c>
      <c r="AA62" s="348">
        <f t="shared" ca="1" si="5"/>
        <v>12</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Lun</v>
      </c>
      <c r="U63" s="186" t="str">
        <f t="shared" ca="1" si="13"/>
        <v>décembre</v>
      </c>
      <c r="X63" s="347">
        <f t="shared" ca="1" si="17"/>
        <v>46356</v>
      </c>
      <c r="Y63" s="452" t="str">
        <f t="shared" ca="1" si="14"/>
        <v>Lun. décembre , 2026</v>
      </c>
      <c r="Z63" s="143">
        <f t="shared" ca="1" si="4"/>
        <v>31</v>
      </c>
      <c r="AA63" s="348">
        <f t="shared" ca="1" si="5"/>
        <v>12</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Lun</v>
      </c>
      <c r="U64" s="186" t="str">
        <f t="shared" ca="1" si="13"/>
        <v>décembre</v>
      </c>
      <c r="X64" s="347">
        <f t="shared" ca="1" si="17"/>
        <v>46356</v>
      </c>
      <c r="Y64" s="452" t="str">
        <f t="shared" ca="1" si="14"/>
        <v>Lun. décembre , 2026</v>
      </c>
      <c r="Z64" s="143">
        <f t="shared" ca="1" si="4"/>
        <v>31</v>
      </c>
      <c r="AA64" s="348">
        <f t="shared" ca="1" si="5"/>
        <v>12</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Lun</v>
      </c>
      <c r="U65" s="186" t="str">
        <f t="shared" ca="1" si="13"/>
        <v>décembre</v>
      </c>
      <c r="X65" s="347">
        <f t="shared" ca="1" si="17"/>
        <v>46356</v>
      </c>
      <c r="Y65" s="452" t="str">
        <f t="shared" ca="1" si="14"/>
        <v>Lun. décembre , 2026</v>
      </c>
      <c r="Z65" s="143">
        <f t="shared" ca="1" si="4"/>
        <v>31</v>
      </c>
      <c r="AA65" s="348">
        <f t="shared" ca="1" si="5"/>
        <v>12</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Lun</v>
      </c>
      <c r="U66" s="186" t="str">
        <f t="shared" ca="1" si="13"/>
        <v>décembre</v>
      </c>
      <c r="X66" s="347">
        <f t="shared" ca="1" si="17"/>
        <v>46356</v>
      </c>
      <c r="Y66" s="452" t="str">
        <f t="shared" ca="1" si="14"/>
        <v>Lun. décembre , 2026</v>
      </c>
      <c r="Z66" s="143">
        <f t="shared" ca="1" si="4"/>
        <v>31</v>
      </c>
      <c r="AA66" s="348">
        <f t="shared" ca="1" si="5"/>
        <v>12</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Lun</v>
      </c>
      <c r="U67" s="186" t="str">
        <f t="shared" ca="1" si="13"/>
        <v>décembre</v>
      </c>
      <c r="X67" s="347">
        <f t="shared" ca="1" si="17"/>
        <v>46356</v>
      </c>
      <c r="Y67" s="452" t="str">
        <f t="shared" ca="1" si="14"/>
        <v>Lun. décembre , 2026</v>
      </c>
      <c r="Z67" s="143">
        <f t="shared" ca="1" si="4"/>
        <v>31</v>
      </c>
      <c r="AA67" s="348">
        <f t="shared" ca="1" si="5"/>
        <v>12</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Lun</v>
      </c>
      <c r="U68" s="186" t="str">
        <f t="shared" ca="1" si="13"/>
        <v>décembre</v>
      </c>
      <c r="X68" s="347">
        <f t="shared" ca="1" si="17"/>
        <v>46356</v>
      </c>
      <c r="Y68" s="452" t="str">
        <f t="shared" ca="1" si="14"/>
        <v>Lun. décembre , 2026</v>
      </c>
      <c r="Z68" s="143">
        <f t="shared" ca="1" si="4"/>
        <v>31</v>
      </c>
      <c r="AA68" s="348">
        <f t="shared" ca="1" si="5"/>
        <v>12</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Lun</v>
      </c>
      <c r="U69" s="186" t="str">
        <f t="shared" ca="1" si="13"/>
        <v>décembre</v>
      </c>
      <c r="X69" s="347">
        <f t="shared" ca="1" si="17"/>
        <v>46356</v>
      </c>
      <c r="Y69" s="452" t="str">
        <f t="shared" ca="1" si="14"/>
        <v>Lun. décembre , 2026</v>
      </c>
      <c r="Z69" s="143">
        <f t="shared" ca="1" si="4"/>
        <v>31</v>
      </c>
      <c r="AA69" s="348">
        <f t="shared" ca="1" si="5"/>
        <v>12</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Lun</v>
      </c>
      <c r="U70" s="186" t="str">
        <f t="shared" ca="1" si="13"/>
        <v>décembre</v>
      </c>
      <c r="X70" s="347">
        <f t="shared" ca="1" si="17"/>
        <v>46356</v>
      </c>
      <c r="Y70" s="452" t="str">
        <f t="shared" ca="1" si="14"/>
        <v>Lun. décembre , 2026</v>
      </c>
      <c r="Z70" s="143">
        <f t="shared" ca="1" si="4"/>
        <v>31</v>
      </c>
      <c r="AA70" s="348">
        <f t="shared" ca="1" si="5"/>
        <v>12</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Lun</v>
      </c>
      <c r="U71" s="186" t="str">
        <f t="shared" ca="1" si="13"/>
        <v>décembre</v>
      </c>
      <c r="X71" s="347">
        <f t="shared" ca="1" si="17"/>
        <v>46356</v>
      </c>
      <c r="Y71" s="452" t="str">
        <f t="shared" ca="1" si="14"/>
        <v>Lun. décembre , 2026</v>
      </c>
      <c r="Z71" s="143">
        <f t="shared" ca="1" si="4"/>
        <v>31</v>
      </c>
      <c r="AA71" s="348">
        <f t="shared" ca="1" si="5"/>
        <v>12</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Lun</v>
      </c>
      <c r="U72" s="186" t="str">
        <f t="shared" ca="1" si="13"/>
        <v>décembre</v>
      </c>
      <c r="X72" s="347">
        <f t="shared" ca="1" si="17"/>
        <v>46356</v>
      </c>
      <c r="Y72" s="452" t="str">
        <f t="shared" ca="1" si="14"/>
        <v>Lun. décembre , 2026</v>
      </c>
      <c r="Z72" s="143">
        <f t="shared" ca="1" si="4"/>
        <v>31</v>
      </c>
      <c r="AA72" s="348">
        <f t="shared" ca="1" si="5"/>
        <v>12</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Lun</v>
      </c>
      <c r="U73" s="186" t="str">
        <f t="shared" ca="1" si="13"/>
        <v>décembre</v>
      </c>
      <c r="X73" s="347">
        <f t="shared" ca="1" si="17"/>
        <v>46356</v>
      </c>
      <c r="Y73" s="452" t="str">
        <f t="shared" ca="1" si="14"/>
        <v>Lun. décembre , 2026</v>
      </c>
      <c r="Z73" s="143">
        <f t="shared" ca="1" si="4"/>
        <v>31</v>
      </c>
      <c r="AA73" s="348">
        <f t="shared" ca="1" si="5"/>
        <v>12</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Lun</v>
      </c>
      <c r="U74" s="186" t="str">
        <f t="shared" ca="1" si="13"/>
        <v>décembre</v>
      </c>
      <c r="X74" s="347">
        <f t="shared" ca="1" si="17"/>
        <v>46356</v>
      </c>
      <c r="Y74" s="452" t="str">
        <f t="shared" ca="1" si="14"/>
        <v>Lun. décembre , 2026</v>
      </c>
      <c r="Z74" s="143">
        <f t="shared" ca="1" si="4"/>
        <v>31</v>
      </c>
      <c r="AA74" s="348">
        <f t="shared" ca="1" si="5"/>
        <v>12</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Lun</v>
      </c>
      <c r="U75" s="186" t="str">
        <f t="shared" ca="1" si="13"/>
        <v>décembre</v>
      </c>
      <c r="X75" s="347">
        <f t="shared" ca="1" si="17"/>
        <v>46356</v>
      </c>
      <c r="Y75" s="452" t="str">
        <f t="shared" ca="1" si="14"/>
        <v>Lun. décembre , 2026</v>
      </c>
      <c r="Z75" s="143">
        <f t="shared" ca="1" si="4"/>
        <v>31</v>
      </c>
      <c r="AA75" s="348">
        <f t="shared" ca="1" si="5"/>
        <v>12</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Lun</v>
      </c>
      <c r="U76" s="186" t="str">
        <f t="shared" ca="1" si="13"/>
        <v>décembre</v>
      </c>
      <c r="X76" s="347">
        <f t="shared" ca="1" si="17"/>
        <v>46356</v>
      </c>
      <c r="Y76" s="452" t="str">
        <f t="shared" ca="1" si="14"/>
        <v>Lun. décembre , 2026</v>
      </c>
      <c r="Z76" s="143">
        <f t="shared" ca="1" si="4"/>
        <v>31</v>
      </c>
      <c r="AA76" s="348">
        <f t="shared" ca="1" si="5"/>
        <v>12</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Lun</v>
      </c>
      <c r="U77" s="186" t="str">
        <f t="shared" ca="1" si="13"/>
        <v>décembre</v>
      </c>
      <c r="X77" s="347">
        <f t="shared" ca="1" si="17"/>
        <v>46356</v>
      </c>
      <c r="Y77" s="452" t="str">
        <f t="shared" ca="1" si="14"/>
        <v>Lun. décembre , 2026</v>
      </c>
      <c r="Z77" s="143">
        <f t="shared" ca="1" si="4"/>
        <v>31</v>
      </c>
      <c r="AA77" s="348">
        <f t="shared" ca="1" si="5"/>
        <v>12</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Lun</v>
      </c>
      <c r="U78" s="186" t="str">
        <f t="shared" ca="1" si="13"/>
        <v>décembre</v>
      </c>
      <c r="X78" s="347">
        <f t="shared" ca="1" si="17"/>
        <v>46356</v>
      </c>
      <c r="Y78" s="452" t="str">
        <f t="shared" ca="1" si="14"/>
        <v>Lun. décembre , 2026</v>
      </c>
      <c r="Z78" s="143">
        <f t="shared" ca="1" si="4"/>
        <v>31</v>
      </c>
      <c r="AA78" s="348">
        <f t="shared" ca="1" si="5"/>
        <v>12</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Lun</v>
      </c>
      <c r="U79" s="186" t="str">
        <f t="shared" ca="1" si="13"/>
        <v>décembre</v>
      </c>
      <c r="X79" s="347">
        <f t="shared" ca="1" si="17"/>
        <v>46356</v>
      </c>
      <c r="Y79" s="452" t="str">
        <f t="shared" ca="1" si="14"/>
        <v>Lun. décembre , 2026</v>
      </c>
      <c r="Z79" s="143">
        <f t="shared" ca="1" si="4"/>
        <v>31</v>
      </c>
      <c r="AA79" s="348">
        <f t="shared" ca="1" si="5"/>
        <v>12</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Lun</v>
      </c>
      <c r="U80" s="186" t="str">
        <f t="shared" ca="1" si="13"/>
        <v>décembre</v>
      </c>
      <c r="X80" s="347">
        <f t="shared" ca="1" si="17"/>
        <v>46356</v>
      </c>
      <c r="Y80" s="452" t="str">
        <f t="shared" ca="1" si="14"/>
        <v>Lun. décembre , 2026</v>
      </c>
      <c r="Z80" s="143">
        <f t="shared" ca="1" si="4"/>
        <v>31</v>
      </c>
      <c r="AA80" s="348">
        <f t="shared" ca="1" si="5"/>
        <v>12</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Lun</v>
      </c>
      <c r="U81" s="186" t="str">
        <f t="shared" ca="1" si="13"/>
        <v>décembre</v>
      </c>
      <c r="X81" s="347">
        <f t="shared" ca="1" si="17"/>
        <v>46356</v>
      </c>
      <c r="Y81" s="452" t="str">
        <f t="shared" ca="1" si="14"/>
        <v>Lun. décembre , 2026</v>
      </c>
      <c r="Z81" s="143">
        <f t="shared" ca="1" si="4"/>
        <v>31</v>
      </c>
      <c r="AA81" s="348">
        <f t="shared" ca="1" si="5"/>
        <v>12</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Lun</v>
      </c>
      <c r="U82" s="186" t="str">
        <f t="shared" ca="1" si="13"/>
        <v>décembre</v>
      </c>
      <c r="X82" s="347">
        <f t="shared" ca="1" si="17"/>
        <v>46356</v>
      </c>
      <c r="Y82" s="452" t="str">
        <f t="shared" ca="1" si="14"/>
        <v>Lun. décembre , 2026</v>
      </c>
      <c r="Z82" s="143">
        <f t="shared" ca="1" si="4"/>
        <v>31</v>
      </c>
      <c r="AA82" s="348">
        <f t="shared" ca="1" si="5"/>
        <v>12</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Lun</v>
      </c>
      <c r="U83" s="186" t="str">
        <f t="shared" ca="1" si="13"/>
        <v>décembre</v>
      </c>
      <c r="X83" s="347">
        <f t="shared" ca="1" si="17"/>
        <v>46356</v>
      </c>
      <c r="Y83" s="452" t="str">
        <f t="shared" ca="1" si="14"/>
        <v>Lun. décembre , 2026</v>
      </c>
      <c r="Z83" s="143">
        <f t="shared" ca="1" si="4"/>
        <v>31</v>
      </c>
      <c r="AA83" s="348">
        <f t="shared" ca="1" si="5"/>
        <v>12</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Lun</v>
      </c>
      <c r="U84" s="186" t="str">
        <f t="shared" ca="1" si="13"/>
        <v>décembre</v>
      </c>
      <c r="X84" s="347">
        <f t="shared" ca="1" si="17"/>
        <v>46356</v>
      </c>
      <c r="Y84" s="452" t="str">
        <f t="shared" ca="1" si="14"/>
        <v>Lun. décembre , 2026</v>
      </c>
      <c r="Z84" s="143">
        <f t="shared" ref="Z84:Z147" ca="1" si="24">MIN(R84,$AF$5)</f>
        <v>31</v>
      </c>
      <c r="AA84" s="348">
        <f t="shared" ref="AA84:AA147" ca="1" si="25">$AD$6</f>
        <v>12</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Lun</v>
      </c>
      <c r="U85" s="186" t="str">
        <f t="shared" ref="U85:U148" ca="1" si="32">$U$19</f>
        <v>décembre</v>
      </c>
      <c r="X85" s="347">
        <f t="shared" ca="1" si="17"/>
        <v>46356</v>
      </c>
      <c r="Y85" s="452" t="str">
        <f t="shared" ref="Y85:Y148" ca="1" si="33">IF(Y79="f",T85&amp;". "&amp;" "&amp;R85&amp;" "&amp;U85&amp;" "&amp;$AE$7,T85&amp;". "&amp;U85&amp;" "&amp;R85&amp;", "&amp;$AE$7)</f>
        <v>Lun. décembre , 2026</v>
      </c>
      <c r="Z85" s="143">
        <f t="shared" ca="1" si="24"/>
        <v>31</v>
      </c>
      <c r="AA85" s="348">
        <f t="shared" ca="1" si="25"/>
        <v>12</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Lun</v>
      </c>
      <c r="U86" s="186" t="str">
        <f t="shared" ca="1" si="32"/>
        <v>décembre</v>
      </c>
      <c r="X86" s="347">
        <f t="shared" ref="X86:X149" ca="1" si="36">$AE$8+D86</f>
        <v>46356</v>
      </c>
      <c r="Y86" s="452" t="str">
        <f t="shared" ca="1" si="33"/>
        <v>Lun. décembre , 2026</v>
      </c>
      <c r="Z86" s="143">
        <f t="shared" ca="1" si="24"/>
        <v>31</v>
      </c>
      <c r="AA86" s="348">
        <f t="shared" ca="1" si="25"/>
        <v>12</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Lun</v>
      </c>
      <c r="U87" s="186" t="str">
        <f t="shared" ca="1" si="32"/>
        <v>décembre</v>
      </c>
      <c r="X87" s="347">
        <f t="shared" ca="1" si="36"/>
        <v>46356</v>
      </c>
      <c r="Y87" s="452" t="str">
        <f t="shared" ca="1" si="33"/>
        <v>Lun. décembre , 2026</v>
      </c>
      <c r="Z87" s="143">
        <f t="shared" ca="1" si="24"/>
        <v>31</v>
      </c>
      <c r="AA87" s="348">
        <f t="shared" ca="1" si="25"/>
        <v>12</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Lun</v>
      </c>
      <c r="U88" s="186" t="str">
        <f t="shared" ca="1" si="32"/>
        <v>décembre</v>
      </c>
      <c r="X88" s="347">
        <f t="shared" ca="1" si="36"/>
        <v>46356</v>
      </c>
      <c r="Y88" s="452" t="str">
        <f t="shared" ca="1" si="33"/>
        <v>Lun. décembre , 2026</v>
      </c>
      <c r="Z88" s="143">
        <f t="shared" ca="1" si="24"/>
        <v>31</v>
      </c>
      <c r="AA88" s="348">
        <f t="shared" ca="1" si="25"/>
        <v>12</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Lun</v>
      </c>
      <c r="U89" s="186" t="str">
        <f t="shared" ca="1" si="32"/>
        <v>décembre</v>
      </c>
      <c r="X89" s="347">
        <f t="shared" ca="1" si="36"/>
        <v>46356</v>
      </c>
      <c r="Y89" s="452" t="str">
        <f t="shared" ca="1" si="33"/>
        <v>Lun. décembre , 2026</v>
      </c>
      <c r="Z89" s="143">
        <f t="shared" ca="1" si="24"/>
        <v>31</v>
      </c>
      <c r="AA89" s="348">
        <f t="shared" ca="1" si="25"/>
        <v>12</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Lun</v>
      </c>
      <c r="U90" s="186" t="str">
        <f t="shared" ca="1" si="32"/>
        <v>décembre</v>
      </c>
      <c r="X90" s="347">
        <f t="shared" ca="1" si="36"/>
        <v>46356</v>
      </c>
      <c r="Y90" s="452" t="str">
        <f t="shared" ca="1" si="33"/>
        <v>Lun. décembre , 2026</v>
      </c>
      <c r="Z90" s="143">
        <f t="shared" ca="1" si="24"/>
        <v>31</v>
      </c>
      <c r="AA90" s="348">
        <f t="shared" ca="1" si="25"/>
        <v>12</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Lun</v>
      </c>
      <c r="U91" s="186" t="str">
        <f t="shared" ca="1" si="32"/>
        <v>décembre</v>
      </c>
      <c r="X91" s="347">
        <f t="shared" ca="1" si="36"/>
        <v>46356</v>
      </c>
      <c r="Y91" s="452" t="str">
        <f t="shared" ca="1" si="33"/>
        <v>Lun. décembre , 2026</v>
      </c>
      <c r="Z91" s="143">
        <f t="shared" ca="1" si="24"/>
        <v>31</v>
      </c>
      <c r="AA91" s="348">
        <f t="shared" ca="1" si="25"/>
        <v>12</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Lun</v>
      </c>
      <c r="U92" s="186" t="str">
        <f t="shared" ca="1" si="32"/>
        <v>décembre</v>
      </c>
      <c r="X92" s="347">
        <f t="shared" ca="1" si="36"/>
        <v>46356</v>
      </c>
      <c r="Y92" s="452" t="str">
        <f t="shared" ca="1" si="33"/>
        <v>Lun. décembre , 2026</v>
      </c>
      <c r="Z92" s="143">
        <f t="shared" ca="1" si="24"/>
        <v>31</v>
      </c>
      <c r="AA92" s="348">
        <f t="shared" ca="1" si="25"/>
        <v>12</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Lun</v>
      </c>
      <c r="U93" s="186" t="str">
        <f t="shared" ca="1" si="32"/>
        <v>décembre</v>
      </c>
      <c r="X93" s="347">
        <f t="shared" ca="1" si="36"/>
        <v>46356</v>
      </c>
      <c r="Y93" s="452" t="str">
        <f t="shared" ca="1" si="33"/>
        <v>Lun. décembre , 2026</v>
      </c>
      <c r="Z93" s="143">
        <f t="shared" ca="1" si="24"/>
        <v>31</v>
      </c>
      <c r="AA93" s="348">
        <f t="shared" ca="1" si="25"/>
        <v>12</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Lun</v>
      </c>
      <c r="U94" s="186" t="str">
        <f t="shared" ca="1" si="32"/>
        <v>décembre</v>
      </c>
      <c r="X94" s="347">
        <f t="shared" ca="1" si="36"/>
        <v>46356</v>
      </c>
      <c r="Y94" s="452" t="str">
        <f t="shared" ca="1" si="33"/>
        <v>Lun. décembre , 2026</v>
      </c>
      <c r="Z94" s="143">
        <f t="shared" ca="1" si="24"/>
        <v>31</v>
      </c>
      <c r="AA94" s="348">
        <f t="shared" ca="1" si="25"/>
        <v>12</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Lun</v>
      </c>
      <c r="U95" s="186" t="str">
        <f t="shared" ca="1" si="32"/>
        <v>décembre</v>
      </c>
      <c r="X95" s="347">
        <f t="shared" ca="1" si="36"/>
        <v>46356</v>
      </c>
      <c r="Y95" s="452" t="str">
        <f t="shared" ca="1" si="33"/>
        <v>Lun. décembre , 2026</v>
      </c>
      <c r="Z95" s="143">
        <f t="shared" ca="1" si="24"/>
        <v>31</v>
      </c>
      <c r="AA95" s="348">
        <f t="shared" ca="1" si="25"/>
        <v>12</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Lun</v>
      </c>
      <c r="U96" s="186" t="str">
        <f t="shared" ca="1" si="32"/>
        <v>décembre</v>
      </c>
      <c r="X96" s="347">
        <f t="shared" ca="1" si="36"/>
        <v>46356</v>
      </c>
      <c r="Y96" s="452" t="str">
        <f t="shared" ca="1" si="33"/>
        <v>Lun. décembre , 2026</v>
      </c>
      <c r="Z96" s="143">
        <f t="shared" ca="1" si="24"/>
        <v>31</v>
      </c>
      <c r="AA96" s="348">
        <f t="shared" ca="1" si="25"/>
        <v>12</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Lun</v>
      </c>
      <c r="U97" s="186" t="str">
        <f t="shared" ca="1" si="32"/>
        <v>décembre</v>
      </c>
      <c r="X97" s="347">
        <f t="shared" ca="1" si="36"/>
        <v>46356</v>
      </c>
      <c r="Y97" s="452" t="str">
        <f t="shared" ca="1" si="33"/>
        <v>Lun. décembre , 2026</v>
      </c>
      <c r="Z97" s="143">
        <f t="shared" ca="1" si="24"/>
        <v>31</v>
      </c>
      <c r="AA97" s="348">
        <f t="shared" ca="1" si="25"/>
        <v>12</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Lun</v>
      </c>
      <c r="U98" s="186" t="str">
        <f t="shared" ca="1" si="32"/>
        <v>décembre</v>
      </c>
      <c r="X98" s="347">
        <f t="shared" ca="1" si="36"/>
        <v>46356</v>
      </c>
      <c r="Y98" s="452" t="str">
        <f t="shared" ca="1" si="33"/>
        <v>Lun. décembre , 2026</v>
      </c>
      <c r="Z98" s="143">
        <f t="shared" ca="1" si="24"/>
        <v>31</v>
      </c>
      <c r="AA98" s="348">
        <f t="shared" ca="1" si="25"/>
        <v>12</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Lun</v>
      </c>
      <c r="U99" s="186" t="str">
        <f t="shared" ca="1" si="32"/>
        <v>décembre</v>
      </c>
      <c r="X99" s="347">
        <f t="shared" ca="1" si="36"/>
        <v>46356</v>
      </c>
      <c r="Y99" s="452" t="str">
        <f t="shared" ca="1" si="33"/>
        <v>Lun. décembre , 2026</v>
      </c>
      <c r="Z99" s="143">
        <f t="shared" ca="1" si="24"/>
        <v>31</v>
      </c>
      <c r="AA99" s="348">
        <f t="shared" ca="1" si="25"/>
        <v>12</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Lun</v>
      </c>
      <c r="U100" s="186" t="str">
        <f t="shared" ca="1" si="32"/>
        <v>décembre</v>
      </c>
      <c r="X100" s="347">
        <f t="shared" ca="1" si="36"/>
        <v>46356</v>
      </c>
      <c r="Y100" s="452" t="str">
        <f t="shared" ca="1" si="33"/>
        <v>Lun. décembre , 2026</v>
      </c>
      <c r="Z100" s="143">
        <f t="shared" ca="1" si="24"/>
        <v>31</v>
      </c>
      <c r="AA100" s="348">
        <f t="shared" ca="1" si="25"/>
        <v>12</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Lun</v>
      </c>
      <c r="U101" s="186" t="str">
        <f t="shared" ca="1" si="32"/>
        <v>décembre</v>
      </c>
      <c r="X101" s="347">
        <f t="shared" ca="1" si="36"/>
        <v>46356</v>
      </c>
      <c r="Y101" s="452" t="str">
        <f t="shared" ca="1" si="33"/>
        <v>Lun. décembre , 2026</v>
      </c>
      <c r="Z101" s="143">
        <f t="shared" ca="1" si="24"/>
        <v>31</v>
      </c>
      <c r="AA101" s="348">
        <f t="shared" ca="1" si="25"/>
        <v>12</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Lun</v>
      </c>
      <c r="U102" s="186" t="str">
        <f t="shared" ca="1" si="32"/>
        <v>décembre</v>
      </c>
      <c r="X102" s="347">
        <f t="shared" ca="1" si="36"/>
        <v>46356</v>
      </c>
      <c r="Y102" s="452" t="str">
        <f t="shared" ca="1" si="33"/>
        <v>Lun. décembre , 2026</v>
      </c>
      <c r="Z102" s="143">
        <f t="shared" ca="1" si="24"/>
        <v>31</v>
      </c>
      <c r="AA102" s="348">
        <f t="shared" ca="1" si="25"/>
        <v>12</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Lun</v>
      </c>
      <c r="U103" s="186" t="str">
        <f t="shared" ca="1" si="32"/>
        <v>décembre</v>
      </c>
      <c r="X103" s="347">
        <f t="shared" ca="1" si="36"/>
        <v>46356</v>
      </c>
      <c r="Y103" s="452" t="str">
        <f t="shared" ca="1" si="33"/>
        <v>Lun. décembre , 2026</v>
      </c>
      <c r="Z103" s="143">
        <f t="shared" ca="1" si="24"/>
        <v>31</v>
      </c>
      <c r="AA103" s="348">
        <f t="shared" ca="1" si="25"/>
        <v>12</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Lun</v>
      </c>
      <c r="U104" s="186" t="str">
        <f t="shared" ca="1" si="32"/>
        <v>décembre</v>
      </c>
      <c r="X104" s="347">
        <f t="shared" ca="1" si="36"/>
        <v>46356</v>
      </c>
      <c r="Y104" s="452" t="str">
        <f t="shared" ca="1" si="33"/>
        <v>Lun. décembre , 2026</v>
      </c>
      <c r="Z104" s="143">
        <f t="shared" ca="1" si="24"/>
        <v>31</v>
      </c>
      <c r="AA104" s="348">
        <f t="shared" ca="1" si="25"/>
        <v>12</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Lun</v>
      </c>
      <c r="U105" s="186" t="str">
        <f t="shared" ca="1" si="32"/>
        <v>décembre</v>
      </c>
      <c r="X105" s="347">
        <f t="shared" ca="1" si="36"/>
        <v>46356</v>
      </c>
      <c r="Y105" s="452" t="str">
        <f t="shared" ca="1" si="33"/>
        <v>Lun. décembre , 2026</v>
      </c>
      <c r="Z105" s="143">
        <f t="shared" ca="1" si="24"/>
        <v>31</v>
      </c>
      <c r="AA105" s="348">
        <f t="shared" ca="1" si="25"/>
        <v>12</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Lun</v>
      </c>
      <c r="U106" s="186" t="str">
        <f t="shared" ca="1" si="32"/>
        <v>décembre</v>
      </c>
      <c r="X106" s="347">
        <f t="shared" ca="1" si="36"/>
        <v>46356</v>
      </c>
      <c r="Y106" s="452" t="str">
        <f t="shared" ca="1" si="33"/>
        <v>Lun. décembre , 2026</v>
      </c>
      <c r="Z106" s="143">
        <f t="shared" ca="1" si="24"/>
        <v>31</v>
      </c>
      <c r="AA106" s="348">
        <f t="shared" ca="1" si="25"/>
        <v>12</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Lun</v>
      </c>
      <c r="U107" s="186" t="str">
        <f t="shared" ca="1" si="32"/>
        <v>décembre</v>
      </c>
      <c r="X107" s="347">
        <f t="shared" ca="1" si="36"/>
        <v>46356</v>
      </c>
      <c r="Y107" s="452" t="str">
        <f t="shared" ca="1" si="33"/>
        <v>Lun. décembre , 2026</v>
      </c>
      <c r="Z107" s="143">
        <f t="shared" ca="1" si="24"/>
        <v>31</v>
      </c>
      <c r="AA107" s="348">
        <f t="shared" ca="1" si="25"/>
        <v>12</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Lun</v>
      </c>
      <c r="U108" s="186" t="str">
        <f t="shared" ca="1" si="32"/>
        <v>décembre</v>
      </c>
      <c r="X108" s="347">
        <f t="shared" ca="1" si="36"/>
        <v>46356</v>
      </c>
      <c r="Y108" s="452" t="str">
        <f t="shared" ca="1" si="33"/>
        <v>Lun. décembre , 2026</v>
      </c>
      <c r="Z108" s="143">
        <f t="shared" ca="1" si="24"/>
        <v>31</v>
      </c>
      <c r="AA108" s="348">
        <f t="shared" ca="1" si="25"/>
        <v>12</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Lun</v>
      </c>
      <c r="U109" s="186" t="str">
        <f t="shared" ca="1" si="32"/>
        <v>décembre</v>
      </c>
      <c r="X109" s="347">
        <f t="shared" ca="1" si="36"/>
        <v>46356</v>
      </c>
      <c r="Y109" s="452" t="str">
        <f t="shared" ca="1" si="33"/>
        <v>Lun. décembre , 2026</v>
      </c>
      <c r="Z109" s="143">
        <f t="shared" ca="1" si="24"/>
        <v>31</v>
      </c>
      <c r="AA109" s="348">
        <f t="shared" ca="1" si="25"/>
        <v>12</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Lun</v>
      </c>
      <c r="U110" s="186" t="str">
        <f t="shared" ca="1" si="32"/>
        <v>décembre</v>
      </c>
      <c r="X110" s="347">
        <f t="shared" ca="1" si="36"/>
        <v>46356</v>
      </c>
      <c r="Y110" s="452" t="str">
        <f t="shared" ca="1" si="33"/>
        <v>Lun. décembre , 2026</v>
      </c>
      <c r="Z110" s="143">
        <f t="shared" ca="1" si="24"/>
        <v>31</v>
      </c>
      <c r="AA110" s="348">
        <f t="shared" ca="1" si="25"/>
        <v>12</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Lun</v>
      </c>
      <c r="U111" s="186" t="str">
        <f t="shared" ca="1" si="32"/>
        <v>décembre</v>
      </c>
      <c r="X111" s="347">
        <f t="shared" ca="1" si="36"/>
        <v>46356</v>
      </c>
      <c r="Y111" s="452" t="str">
        <f t="shared" ca="1" si="33"/>
        <v>Lun. décembre , 2026</v>
      </c>
      <c r="Z111" s="143">
        <f t="shared" ca="1" si="24"/>
        <v>31</v>
      </c>
      <c r="AA111" s="348">
        <f t="shared" ca="1" si="25"/>
        <v>12</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Lun</v>
      </c>
      <c r="U112" s="186" t="str">
        <f t="shared" ca="1" si="32"/>
        <v>décembre</v>
      </c>
      <c r="X112" s="347">
        <f t="shared" ca="1" si="36"/>
        <v>46356</v>
      </c>
      <c r="Y112" s="452" t="str">
        <f t="shared" ca="1" si="33"/>
        <v>Lun. décembre , 2026</v>
      </c>
      <c r="Z112" s="143">
        <f t="shared" ca="1" si="24"/>
        <v>31</v>
      </c>
      <c r="AA112" s="348">
        <f t="shared" ca="1" si="25"/>
        <v>12</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Lun</v>
      </c>
      <c r="U113" s="186" t="str">
        <f t="shared" ca="1" si="32"/>
        <v>décembre</v>
      </c>
      <c r="X113" s="347">
        <f t="shared" ca="1" si="36"/>
        <v>46356</v>
      </c>
      <c r="Y113" s="452" t="str">
        <f t="shared" ca="1" si="33"/>
        <v>Lun. décembre , 2026</v>
      </c>
      <c r="Z113" s="143">
        <f t="shared" ca="1" si="24"/>
        <v>31</v>
      </c>
      <c r="AA113" s="348">
        <f t="shared" ca="1" si="25"/>
        <v>12</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Lun</v>
      </c>
      <c r="U114" s="186" t="str">
        <f t="shared" ca="1" si="32"/>
        <v>décembre</v>
      </c>
      <c r="X114" s="347">
        <f t="shared" ca="1" si="36"/>
        <v>46356</v>
      </c>
      <c r="Y114" s="452" t="str">
        <f t="shared" ca="1" si="33"/>
        <v>Lun. décembre , 2026</v>
      </c>
      <c r="Z114" s="143">
        <f t="shared" ca="1" si="24"/>
        <v>31</v>
      </c>
      <c r="AA114" s="348">
        <f t="shared" ca="1" si="25"/>
        <v>12</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Lun</v>
      </c>
      <c r="U115" s="186" t="str">
        <f t="shared" ca="1" si="32"/>
        <v>décembre</v>
      </c>
      <c r="X115" s="347">
        <f t="shared" ca="1" si="36"/>
        <v>46356</v>
      </c>
      <c r="Y115" s="452" t="str">
        <f t="shared" ca="1" si="33"/>
        <v>Lun. décembre , 2026</v>
      </c>
      <c r="Z115" s="143">
        <f t="shared" ca="1" si="24"/>
        <v>31</v>
      </c>
      <c r="AA115" s="348">
        <f t="shared" ca="1" si="25"/>
        <v>12</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Lun</v>
      </c>
      <c r="U116" s="186" t="str">
        <f t="shared" ca="1" si="32"/>
        <v>décembre</v>
      </c>
      <c r="X116" s="347">
        <f t="shared" ca="1" si="36"/>
        <v>46356</v>
      </c>
      <c r="Y116" s="452" t="str">
        <f t="shared" ca="1" si="33"/>
        <v>Lun. décembre , 2026</v>
      </c>
      <c r="Z116" s="143">
        <f t="shared" ca="1" si="24"/>
        <v>31</v>
      </c>
      <c r="AA116" s="348">
        <f t="shared" ca="1" si="25"/>
        <v>12</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Lun</v>
      </c>
      <c r="U117" s="186" t="str">
        <f t="shared" ca="1" si="32"/>
        <v>décembre</v>
      </c>
      <c r="X117" s="347">
        <f t="shared" ca="1" si="36"/>
        <v>46356</v>
      </c>
      <c r="Y117" s="452" t="str">
        <f t="shared" ca="1" si="33"/>
        <v>Lun. décembre , 2026</v>
      </c>
      <c r="Z117" s="143">
        <f t="shared" ca="1" si="24"/>
        <v>31</v>
      </c>
      <c r="AA117" s="348">
        <f t="shared" ca="1" si="25"/>
        <v>12</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Lun</v>
      </c>
      <c r="U118" s="186" t="str">
        <f t="shared" ca="1" si="32"/>
        <v>décembre</v>
      </c>
      <c r="X118" s="347">
        <f t="shared" ca="1" si="36"/>
        <v>46356</v>
      </c>
      <c r="Y118" s="452" t="str">
        <f t="shared" ca="1" si="33"/>
        <v>Lun. décembre , 2026</v>
      </c>
      <c r="Z118" s="143">
        <f t="shared" ca="1" si="24"/>
        <v>31</v>
      </c>
      <c r="AA118" s="348">
        <f t="shared" ca="1" si="25"/>
        <v>12</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Lun</v>
      </c>
      <c r="U119" s="186" t="str">
        <f t="shared" ca="1" si="32"/>
        <v>décembre</v>
      </c>
      <c r="X119" s="347">
        <f t="shared" ca="1" si="36"/>
        <v>46356</v>
      </c>
      <c r="Y119" s="452" t="str">
        <f t="shared" ca="1" si="33"/>
        <v>Lun. décembre , 2026</v>
      </c>
      <c r="Z119" s="143">
        <f t="shared" ca="1" si="24"/>
        <v>31</v>
      </c>
      <c r="AA119" s="348">
        <f t="shared" ca="1" si="25"/>
        <v>12</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Lun</v>
      </c>
      <c r="U120" s="186" t="str">
        <f t="shared" ca="1" si="32"/>
        <v>décembre</v>
      </c>
      <c r="X120" s="347">
        <f t="shared" ca="1" si="36"/>
        <v>46356</v>
      </c>
      <c r="Y120" s="452" t="str">
        <f t="shared" ca="1" si="33"/>
        <v>Lun. décembre , 2026</v>
      </c>
      <c r="Z120" s="143">
        <f t="shared" ca="1" si="24"/>
        <v>31</v>
      </c>
      <c r="AA120" s="348">
        <f t="shared" ca="1" si="25"/>
        <v>12</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Lun</v>
      </c>
      <c r="U121" s="186" t="str">
        <f t="shared" ca="1" si="32"/>
        <v>décembre</v>
      </c>
      <c r="X121" s="347">
        <f t="shared" ca="1" si="36"/>
        <v>46356</v>
      </c>
      <c r="Y121" s="452" t="str">
        <f t="shared" ca="1" si="33"/>
        <v>Lun. décembre , 2026</v>
      </c>
      <c r="Z121" s="143">
        <f t="shared" ca="1" si="24"/>
        <v>31</v>
      </c>
      <c r="AA121" s="348">
        <f t="shared" ca="1" si="25"/>
        <v>12</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Lun</v>
      </c>
      <c r="U122" s="186" t="str">
        <f t="shared" ca="1" si="32"/>
        <v>décembre</v>
      </c>
      <c r="X122" s="347">
        <f t="shared" ca="1" si="36"/>
        <v>46356</v>
      </c>
      <c r="Y122" s="452" t="str">
        <f t="shared" ca="1" si="33"/>
        <v>Lun. décembre , 2026</v>
      </c>
      <c r="Z122" s="143">
        <f t="shared" ca="1" si="24"/>
        <v>31</v>
      </c>
      <c r="AA122" s="348">
        <f t="shared" ca="1" si="25"/>
        <v>12</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Lun</v>
      </c>
      <c r="U123" s="186" t="str">
        <f t="shared" ca="1" si="32"/>
        <v>décembre</v>
      </c>
      <c r="X123" s="347">
        <f t="shared" ca="1" si="36"/>
        <v>46356</v>
      </c>
      <c r="Y123" s="452" t="str">
        <f t="shared" ca="1" si="33"/>
        <v>Lun. décembre , 2026</v>
      </c>
      <c r="Z123" s="143">
        <f t="shared" ca="1" si="24"/>
        <v>31</v>
      </c>
      <c r="AA123" s="348">
        <f t="shared" ca="1" si="25"/>
        <v>12</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Lun</v>
      </c>
      <c r="U124" s="186" t="str">
        <f t="shared" ca="1" si="32"/>
        <v>décembre</v>
      </c>
      <c r="X124" s="347">
        <f t="shared" ca="1" si="36"/>
        <v>46356</v>
      </c>
      <c r="Y124" s="452" t="str">
        <f t="shared" ca="1" si="33"/>
        <v>Lun. décembre , 2026</v>
      </c>
      <c r="Z124" s="143">
        <f t="shared" ca="1" si="24"/>
        <v>31</v>
      </c>
      <c r="AA124" s="348">
        <f t="shared" ca="1" si="25"/>
        <v>12</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Lun</v>
      </c>
      <c r="U125" s="186" t="str">
        <f t="shared" ca="1" si="32"/>
        <v>décembre</v>
      </c>
      <c r="X125" s="347">
        <f t="shared" ca="1" si="36"/>
        <v>46356</v>
      </c>
      <c r="Y125" s="452" t="str">
        <f t="shared" ca="1" si="33"/>
        <v>Lun. décembre , 2026</v>
      </c>
      <c r="Z125" s="143">
        <f t="shared" ca="1" si="24"/>
        <v>31</v>
      </c>
      <c r="AA125" s="348">
        <f t="shared" ca="1" si="25"/>
        <v>12</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Lun</v>
      </c>
      <c r="U126" s="186" t="str">
        <f t="shared" ca="1" si="32"/>
        <v>décembre</v>
      </c>
      <c r="X126" s="347">
        <f t="shared" ca="1" si="36"/>
        <v>46356</v>
      </c>
      <c r="Y126" s="452" t="str">
        <f t="shared" ca="1" si="33"/>
        <v>Lun. décembre , 2026</v>
      </c>
      <c r="Z126" s="143">
        <f t="shared" ca="1" si="24"/>
        <v>31</v>
      </c>
      <c r="AA126" s="348">
        <f t="shared" ca="1" si="25"/>
        <v>12</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Lun</v>
      </c>
      <c r="U127" s="186" t="str">
        <f t="shared" ca="1" si="32"/>
        <v>décembre</v>
      </c>
      <c r="X127" s="347">
        <f t="shared" ca="1" si="36"/>
        <v>46356</v>
      </c>
      <c r="Y127" s="452" t="str">
        <f t="shared" ca="1" si="33"/>
        <v>Lun. décembre , 2026</v>
      </c>
      <c r="Z127" s="143">
        <f t="shared" ca="1" si="24"/>
        <v>31</v>
      </c>
      <c r="AA127" s="348">
        <f t="shared" ca="1" si="25"/>
        <v>12</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Lun</v>
      </c>
      <c r="U128" s="186" t="str">
        <f t="shared" ca="1" si="32"/>
        <v>décembre</v>
      </c>
      <c r="X128" s="347">
        <f t="shared" ca="1" si="36"/>
        <v>46356</v>
      </c>
      <c r="Y128" s="452" t="str">
        <f t="shared" ca="1" si="33"/>
        <v>Lun. décembre , 2026</v>
      </c>
      <c r="Z128" s="143">
        <f t="shared" ca="1" si="24"/>
        <v>31</v>
      </c>
      <c r="AA128" s="348">
        <f t="shared" ca="1" si="25"/>
        <v>12</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Lun</v>
      </c>
      <c r="U129" s="186" t="str">
        <f t="shared" ca="1" si="32"/>
        <v>décembre</v>
      </c>
      <c r="X129" s="347">
        <f t="shared" ca="1" si="36"/>
        <v>46356</v>
      </c>
      <c r="Y129" s="452" t="str">
        <f t="shared" ca="1" si="33"/>
        <v>Lun. décembre , 2026</v>
      </c>
      <c r="Z129" s="143">
        <f t="shared" ca="1" si="24"/>
        <v>31</v>
      </c>
      <c r="AA129" s="348">
        <f t="shared" ca="1" si="25"/>
        <v>12</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Lun</v>
      </c>
      <c r="U130" s="186" t="str">
        <f t="shared" ca="1" si="32"/>
        <v>décembre</v>
      </c>
      <c r="X130" s="347">
        <f t="shared" ca="1" si="36"/>
        <v>46356</v>
      </c>
      <c r="Y130" s="452" t="str">
        <f t="shared" ca="1" si="33"/>
        <v>Lun. décembre , 2026</v>
      </c>
      <c r="Z130" s="143">
        <f t="shared" ca="1" si="24"/>
        <v>31</v>
      </c>
      <c r="AA130" s="348">
        <f t="shared" ca="1" si="25"/>
        <v>12</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Lun</v>
      </c>
      <c r="U131" s="186" t="str">
        <f t="shared" ca="1" si="32"/>
        <v>décembre</v>
      </c>
      <c r="X131" s="347">
        <f t="shared" ca="1" si="36"/>
        <v>46356</v>
      </c>
      <c r="Y131" s="452" t="str">
        <f t="shared" ca="1" si="33"/>
        <v>Lun. décembre , 2026</v>
      </c>
      <c r="Z131" s="143">
        <f t="shared" ca="1" si="24"/>
        <v>31</v>
      </c>
      <c r="AA131" s="348">
        <f t="shared" ca="1" si="25"/>
        <v>12</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Lun</v>
      </c>
      <c r="U132" s="186" t="str">
        <f t="shared" ca="1" si="32"/>
        <v>décembre</v>
      </c>
      <c r="X132" s="347">
        <f t="shared" ca="1" si="36"/>
        <v>46356</v>
      </c>
      <c r="Y132" s="452" t="str">
        <f t="shared" ca="1" si="33"/>
        <v>Lun. décembre , 2026</v>
      </c>
      <c r="Z132" s="143">
        <f t="shared" ca="1" si="24"/>
        <v>31</v>
      </c>
      <c r="AA132" s="348">
        <f t="shared" ca="1" si="25"/>
        <v>12</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Lun</v>
      </c>
      <c r="U133" s="186" t="str">
        <f t="shared" ca="1" si="32"/>
        <v>décembre</v>
      </c>
      <c r="X133" s="347">
        <f t="shared" ca="1" si="36"/>
        <v>46356</v>
      </c>
      <c r="Y133" s="452" t="str">
        <f t="shared" ca="1" si="33"/>
        <v>Lun. décembre , 2026</v>
      </c>
      <c r="Z133" s="143">
        <f t="shared" ca="1" si="24"/>
        <v>31</v>
      </c>
      <c r="AA133" s="348">
        <f t="shared" ca="1" si="25"/>
        <v>12</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Lun</v>
      </c>
      <c r="U134" s="186" t="str">
        <f t="shared" ca="1" si="32"/>
        <v>décembre</v>
      </c>
      <c r="X134" s="347">
        <f t="shared" ca="1" si="36"/>
        <v>46356</v>
      </c>
      <c r="Y134" s="452" t="str">
        <f t="shared" ca="1" si="33"/>
        <v>Lun. décembre , 2026</v>
      </c>
      <c r="Z134" s="143">
        <f t="shared" ca="1" si="24"/>
        <v>31</v>
      </c>
      <c r="AA134" s="348">
        <f t="shared" ca="1" si="25"/>
        <v>12</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Lun</v>
      </c>
      <c r="U135" s="186" t="str">
        <f t="shared" ca="1" si="32"/>
        <v>décembre</v>
      </c>
      <c r="X135" s="347">
        <f t="shared" ca="1" si="36"/>
        <v>46356</v>
      </c>
      <c r="Y135" s="452" t="str">
        <f t="shared" ca="1" si="33"/>
        <v>Lun. décembre , 2026</v>
      </c>
      <c r="Z135" s="143">
        <f t="shared" ca="1" si="24"/>
        <v>31</v>
      </c>
      <c r="AA135" s="348">
        <f t="shared" ca="1" si="25"/>
        <v>12</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Lun</v>
      </c>
      <c r="U136" s="186" t="str">
        <f t="shared" ca="1" si="32"/>
        <v>décembre</v>
      </c>
      <c r="X136" s="347">
        <f t="shared" ca="1" si="36"/>
        <v>46356</v>
      </c>
      <c r="Y136" s="452" t="str">
        <f t="shared" ca="1" si="33"/>
        <v>Lun. décembre , 2026</v>
      </c>
      <c r="Z136" s="143">
        <f t="shared" ca="1" si="24"/>
        <v>31</v>
      </c>
      <c r="AA136" s="348">
        <f t="shared" ca="1" si="25"/>
        <v>12</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Lun</v>
      </c>
      <c r="U137" s="186" t="str">
        <f t="shared" ca="1" si="32"/>
        <v>décembre</v>
      </c>
      <c r="X137" s="347">
        <f t="shared" ca="1" si="36"/>
        <v>46356</v>
      </c>
      <c r="Y137" s="452" t="str">
        <f t="shared" ca="1" si="33"/>
        <v>Lun. décembre , 2026</v>
      </c>
      <c r="Z137" s="143">
        <f t="shared" ca="1" si="24"/>
        <v>31</v>
      </c>
      <c r="AA137" s="348">
        <f t="shared" ca="1" si="25"/>
        <v>12</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Lun</v>
      </c>
      <c r="U138" s="186" t="str">
        <f t="shared" ca="1" si="32"/>
        <v>décembre</v>
      </c>
      <c r="X138" s="347">
        <f t="shared" ca="1" si="36"/>
        <v>46356</v>
      </c>
      <c r="Y138" s="452" t="str">
        <f t="shared" ca="1" si="33"/>
        <v>Lun. décembre , 2026</v>
      </c>
      <c r="Z138" s="143">
        <f t="shared" ca="1" si="24"/>
        <v>31</v>
      </c>
      <c r="AA138" s="348">
        <f t="shared" ca="1" si="25"/>
        <v>12</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Lun</v>
      </c>
      <c r="U139" s="186" t="str">
        <f t="shared" ca="1" si="32"/>
        <v>décembre</v>
      </c>
      <c r="X139" s="347">
        <f t="shared" ca="1" si="36"/>
        <v>46356</v>
      </c>
      <c r="Y139" s="452" t="str">
        <f t="shared" ca="1" si="33"/>
        <v>Lun. décembre , 2026</v>
      </c>
      <c r="Z139" s="143">
        <f t="shared" ca="1" si="24"/>
        <v>31</v>
      </c>
      <c r="AA139" s="348">
        <f t="shared" ca="1" si="25"/>
        <v>12</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Lun</v>
      </c>
      <c r="U140" s="186" t="str">
        <f t="shared" ca="1" si="32"/>
        <v>décembre</v>
      </c>
      <c r="X140" s="347">
        <f t="shared" ca="1" si="36"/>
        <v>46356</v>
      </c>
      <c r="Y140" s="452" t="str">
        <f t="shared" ca="1" si="33"/>
        <v>Lun. décembre , 2026</v>
      </c>
      <c r="Z140" s="143">
        <f t="shared" ca="1" si="24"/>
        <v>31</v>
      </c>
      <c r="AA140" s="348">
        <f t="shared" ca="1" si="25"/>
        <v>12</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Lun</v>
      </c>
      <c r="U141" s="186" t="str">
        <f t="shared" ca="1" si="32"/>
        <v>décembre</v>
      </c>
      <c r="X141" s="347">
        <f t="shared" ca="1" si="36"/>
        <v>46356</v>
      </c>
      <c r="Y141" s="452" t="str">
        <f t="shared" ca="1" si="33"/>
        <v>Lun. décembre , 2026</v>
      </c>
      <c r="Z141" s="143">
        <f t="shared" ca="1" si="24"/>
        <v>31</v>
      </c>
      <c r="AA141" s="348">
        <f t="shared" ca="1" si="25"/>
        <v>12</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Lun</v>
      </c>
      <c r="U142" s="186" t="str">
        <f t="shared" ca="1" si="32"/>
        <v>décembre</v>
      </c>
      <c r="X142" s="347">
        <f t="shared" ca="1" si="36"/>
        <v>46356</v>
      </c>
      <c r="Y142" s="452" t="str">
        <f t="shared" ca="1" si="33"/>
        <v>Lun. décembre , 2026</v>
      </c>
      <c r="Z142" s="143">
        <f t="shared" ca="1" si="24"/>
        <v>31</v>
      </c>
      <c r="AA142" s="348">
        <f t="shared" ca="1" si="25"/>
        <v>12</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Lun</v>
      </c>
      <c r="U143" s="186" t="str">
        <f t="shared" ca="1" si="32"/>
        <v>décembre</v>
      </c>
      <c r="X143" s="347">
        <f t="shared" ca="1" si="36"/>
        <v>46356</v>
      </c>
      <c r="Y143" s="452" t="str">
        <f t="shared" ca="1" si="33"/>
        <v>Lun. décembre , 2026</v>
      </c>
      <c r="Z143" s="143">
        <f t="shared" ca="1" si="24"/>
        <v>31</v>
      </c>
      <c r="AA143" s="348">
        <f t="shared" ca="1" si="25"/>
        <v>12</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Lun</v>
      </c>
      <c r="U144" s="186" t="str">
        <f t="shared" ca="1" si="32"/>
        <v>décembre</v>
      </c>
      <c r="X144" s="347">
        <f t="shared" ca="1" si="36"/>
        <v>46356</v>
      </c>
      <c r="Y144" s="452" t="str">
        <f t="shared" ca="1" si="33"/>
        <v>Lun. décembre , 2026</v>
      </c>
      <c r="Z144" s="143">
        <f t="shared" ca="1" si="24"/>
        <v>31</v>
      </c>
      <c r="AA144" s="348">
        <f t="shared" ca="1" si="25"/>
        <v>12</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Lun</v>
      </c>
      <c r="U145" s="186" t="str">
        <f t="shared" ca="1" si="32"/>
        <v>décembre</v>
      </c>
      <c r="X145" s="347">
        <f t="shared" ca="1" si="36"/>
        <v>46356</v>
      </c>
      <c r="Y145" s="452" t="str">
        <f t="shared" ca="1" si="33"/>
        <v>Lun. décembre , 2026</v>
      </c>
      <c r="Z145" s="143">
        <f t="shared" ca="1" si="24"/>
        <v>31</v>
      </c>
      <c r="AA145" s="348">
        <f t="shared" ca="1" si="25"/>
        <v>12</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Lun</v>
      </c>
      <c r="U146" s="186" t="str">
        <f t="shared" ca="1" si="32"/>
        <v>décembre</v>
      </c>
      <c r="X146" s="347">
        <f t="shared" ca="1" si="36"/>
        <v>46356</v>
      </c>
      <c r="Y146" s="452" t="str">
        <f t="shared" ca="1" si="33"/>
        <v>Lun. décembre , 2026</v>
      </c>
      <c r="Z146" s="143">
        <f t="shared" ca="1" si="24"/>
        <v>31</v>
      </c>
      <c r="AA146" s="348">
        <f t="shared" ca="1" si="25"/>
        <v>12</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Lun</v>
      </c>
      <c r="U147" s="186" t="str">
        <f t="shared" ca="1" si="32"/>
        <v>décembre</v>
      </c>
      <c r="X147" s="347">
        <f t="shared" ca="1" si="36"/>
        <v>46356</v>
      </c>
      <c r="Y147" s="452" t="str">
        <f t="shared" ca="1" si="33"/>
        <v>Lun. décembre , 2026</v>
      </c>
      <c r="Z147" s="143">
        <f t="shared" ca="1" si="24"/>
        <v>31</v>
      </c>
      <c r="AA147" s="348">
        <f t="shared" ca="1" si="25"/>
        <v>12</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Lun</v>
      </c>
      <c r="U148" s="186" t="str">
        <f t="shared" ca="1" si="32"/>
        <v>décembre</v>
      </c>
      <c r="X148" s="347">
        <f t="shared" ca="1" si="36"/>
        <v>46356</v>
      </c>
      <c r="Y148" s="452" t="str">
        <f t="shared" ca="1" si="33"/>
        <v>Lun. décembre , 2026</v>
      </c>
      <c r="Z148" s="143">
        <f t="shared" ref="Z148:Z194" ca="1" si="43">MIN(R148,$AF$5)</f>
        <v>31</v>
      </c>
      <c r="AA148" s="348">
        <f t="shared" ref="AA148:AA194" ca="1" si="44">$AD$6</f>
        <v>12</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Lun</v>
      </c>
      <c r="U149" s="186" t="str">
        <f t="shared" ref="U149:U194" ca="1" si="51">$U$19</f>
        <v>décembre</v>
      </c>
      <c r="X149" s="347">
        <f t="shared" ca="1" si="36"/>
        <v>46356</v>
      </c>
      <c r="Y149" s="452" t="str">
        <f t="shared" ref="Y149:Y194" ca="1" si="52">IF(Y143="f",T149&amp;". "&amp;" "&amp;R149&amp;" "&amp;U149&amp;" "&amp;$AE$7,T149&amp;". "&amp;U149&amp;" "&amp;R149&amp;", "&amp;$AE$7)</f>
        <v>Lun. décembre , 2026</v>
      </c>
      <c r="Z149" s="143">
        <f t="shared" ca="1" si="43"/>
        <v>31</v>
      </c>
      <c r="AA149" s="348">
        <f t="shared" ca="1" si="44"/>
        <v>12</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Lun</v>
      </c>
      <c r="U150" s="186" t="str">
        <f t="shared" ca="1" si="51"/>
        <v>décembre</v>
      </c>
      <c r="X150" s="347">
        <f t="shared" ref="X150:X194" ca="1" si="55">$AE$8+D150</f>
        <v>46356</v>
      </c>
      <c r="Y150" s="452" t="str">
        <f t="shared" ca="1" si="52"/>
        <v>Lun. décembre , 2026</v>
      </c>
      <c r="Z150" s="143">
        <f t="shared" ca="1" si="43"/>
        <v>31</v>
      </c>
      <c r="AA150" s="348">
        <f t="shared" ca="1" si="44"/>
        <v>12</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Lun</v>
      </c>
      <c r="U151" s="186" t="str">
        <f t="shared" ca="1" si="51"/>
        <v>décembre</v>
      </c>
      <c r="X151" s="347">
        <f t="shared" ca="1" si="55"/>
        <v>46356</v>
      </c>
      <c r="Y151" s="452" t="str">
        <f t="shared" ca="1" si="52"/>
        <v>Lun. décembre , 2026</v>
      </c>
      <c r="Z151" s="143">
        <f t="shared" ca="1" si="43"/>
        <v>31</v>
      </c>
      <c r="AA151" s="348">
        <f t="shared" ca="1" si="44"/>
        <v>12</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Lun</v>
      </c>
      <c r="U152" s="186" t="str">
        <f t="shared" ca="1" si="51"/>
        <v>décembre</v>
      </c>
      <c r="X152" s="347">
        <f t="shared" ca="1" si="55"/>
        <v>46356</v>
      </c>
      <c r="Y152" s="452" t="str">
        <f t="shared" ca="1" si="52"/>
        <v>Lun. décembre , 2026</v>
      </c>
      <c r="Z152" s="143">
        <f t="shared" ca="1" si="43"/>
        <v>31</v>
      </c>
      <c r="AA152" s="348">
        <f t="shared" ca="1" si="44"/>
        <v>12</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Lun</v>
      </c>
      <c r="U153" s="186" t="str">
        <f t="shared" ca="1" si="51"/>
        <v>décembre</v>
      </c>
      <c r="X153" s="347">
        <f t="shared" ca="1" si="55"/>
        <v>46356</v>
      </c>
      <c r="Y153" s="452" t="str">
        <f t="shared" ca="1" si="52"/>
        <v>Lun. décembre , 2026</v>
      </c>
      <c r="Z153" s="143">
        <f t="shared" ca="1" si="43"/>
        <v>31</v>
      </c>
      <c r="AA153" s="348">
        <f t="shared" ca="1" si="44"/>
        <v>12</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Lun</v>
      </c>
      <c r="U154" s="186" t="str">
        <f t="shared" ca="1" si="51"/>
        <v>décembre</v>
      </c>
      <c r="X154" s="347">
        <f t="shared" ca="1" si="55"/>
        <v>46356</v>
      </c>
      <c r="Y154" s="452" t="str">
        <f t="shared" ca="1" si="52"/>
        <v>Lun. décembre , 2026</v>
      </c>
      <c r="Z154" s="143">
        <f t="shared" ca="1" si="43"/>
        <v>31</v>
      </c>
      <c r="AA154" s="348">
        <f t="shared" ca="1" si="44"/>
        <v>12</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Lun</v>
      </c>
      <c r="U155" s="186" t="str">
        <f t="shared" ca="1" si="51"/>
        <v>décembre</v>
      </c>
      <c r="X155" s="347">
        <f t="shared" ca="1" si="55"/>
        <v>46356</v>
      </c>
      <c r="Y155" s="452" t="str">
        <f t="shared" ca="1" si="52"/>
        <v>Lun. décembre , 2026</v>
      </c>
      <c r="Z155" s="143">
        <f t="shared" ca="1" si="43"/>
        <v>31</v>
      </c>
      <c r="AA155" s="348">
        <f t="shared" ca="1" si="44"/>
        <v>12</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Lun</v>
      </c>
      <c r="U156" s="186" t="str">
        <f t="shared" ca="1" si="51"/>
        <v>décembre</v>
      </c>
      <c r="X156" s="347">
        <f t="shared" ca="1" si="55"/>
        <v>46356</v>
      </c>
      <c r="Y156" s="452" t="str">
        <f t="shared" ca="1" si="52"/>
        <v>Lun. décembre , 2026</v>
      </c>
      <c r="Z156" s="143">
        <f t="shared" ca="1" si="43"/>
        <v>31</v>
      </c>
      <c r="AA156" s="348">
        <f t="shared" ca="1" si="44"/>
        <v>12</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Lun</v>
      </c>
      <c r="U157" s="186" t="str">
        <f t="shared" ca="1" si="51"/>
        <v>décembre</v>
      </c>
      <c r="X157" s="347">
        <f t="shared" ca="1" si="55"/>
        <v>46356</v>
      </c>
      <c r="Y157" s="452" t="str">
        <f t="shared" ca="1" si="52"/>
        <v>Lun. décembre , 2026</v>
      </c>
      <c r="Z157" s="143">
        <f t="shared" ca="1" si="43"/>
        <v>31</v>
      </c>
      <c r="AA157" s="348">
        <f t="shared" ca="1" si="44"/>
        <v>12</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Lun</v>
      </c>
      <c r="U158" s="186" t="str">
        <f t="shared" ca="1" si="51"/>
        <v>décembre</v>
      </c>
      <c r="X158" s="347">
        <f t="shared" ca="1" si="55"/>
        <v>46356</v>
      </c>
      <c r="Y158" s="452" t="str">
        <f t="shared" ca="1" si="52"/>
        <v>Lun. décembre , 2026</v>
      </c>
      <c r="Z158" s="143">
        <f t="shared" ca="1" si="43"/>
        <v>31</v>
      </c>
      <c r="AA158" s="348">
        <f t="shared" ca="1" si="44"/>
        <v>12</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Lun</v>
      </c>
      <c r="U159" s="186" t="str">
        <f t="shared" ca="1" si="51"/>
        <v>décembre</v>
      </c>
      <c r="X159" s="347">
        <f t="shared" ca="1" si="55"/>
        <v>46356</v>
      </c>
      <c r="Y159" s="452" t="str">
        <f t="shared" ca="1" si="52"/>
        <v>Lun. décembre , 2026</v>
      </c>
      <c r="Z159" s="143">
        <f t="shared" ca="1" si="43"/>
        <v>31</v>
      </c>
      <c r="AA159" s="348">
        <f t="shared" ca="1" si="44"/>
        <v>12</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Lun</v>
      </c>
      <c r="U160" s="186" t="str">
        <f t="shared" ca="1" si="51"/>
        <v>décembre</v>
      </c>
      <c r="X160" s="347">
        <f t="shared" ca="1" si="55"/>
        <v>46356</v>
      </c>
      <c r="Y160" s="452" t="str">
        <f t="shared" ca="1" si="52"/>
        <v>Lun. décembre , 2026</v>
      </c>
      <c r="Z160" s="143">
        <f t="shared" ca="1" si="43"/>
        <v>31</v>
      </c>
      <c r="AA160" s="348">
        <f t="shared" ca="1" si="44"/>
        <v>12</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Lun</v>
      </c>
      <c r="U161" s="186" t="str">
        <f t="shared" ca="1" si="51"/>
        <v>décembre</v>
      </c>
      <c r="X161" s="347">
        <f t="shared" ca="1" si="55"/>
        <v>46356</v>
      </c>
      <c r="Y161" s="452" t="str">
        <f t="shared" ca="1" si="52"/>
        <v>Lun. décembre , 2026</v>
      </c>
      <c r="Z161" s="143">
        <f t="shared" ca="1" si="43"/>
        <v>31</v>
      </c>
      <c r="AA161" s="348">
        <f t="shared" ca="1" si="44"/>
        <v>12</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Lun</v>
      </c>
      <c r="U162" s="186" t="str">
        <f t="shared" ca="1" si="51"/>
        <v>décembre</v>
      </c>
      <c r="X162" s="347">
        <f t="shared" ca="1" si="55"/>
        <v>46356</v>
      </c>
      <c r="Y162" s="452" t="str">
        <f t="shared" ca="1" si="52"/>
        <v>Lun. décembre , 2026</v>
      </c>
      <c r="Z162" s="143">
        <f t="shared" ca="1" si="43"/>
        <v>31</v>
      </c>
      <c r="AA162" s="348">
        <f t="shared" ca="1" si="44"/>
        <v>12</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Lun</v>
      </c>
      <c r="U163" s="186" t="str">
        <f t="shared" ca="1" si="51"/>
        <v>décembre</v>
      </c>
      <c r="X163" s="347">
        <f t="shared" ca="1" si="55"/>
        <v>46356</v>
      </c>
      <c r="Y163" s="452" t="str">
        <f t="shared" ca="1" si="52"/>
        <v>Lun. décembre , 2026</v>
      </c>
      <c r="Z163" s="143">
        <f t="shared" ca="1" si="43"/>
        <v>31</v>
      </c>
      <c r="AA163" s="348">
        <f t="shared" ca="1" si="44"/>
        <v>12</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Lun</v>
      </c>
      <c r="U164" s="186" t="str">
        <f t="shared" ca="1" si="51"/>
        <v>décembre</v>
      </c>
      <c r="X164" s="347">
        <f t="shared" ca="1" si="55"/>
        <v>46356</v>
      </c>
      <c r="Y164" s="452" t="str">
        <f t="shared" ca="1" si="52"/>
        <v>Lun. décembre , 2026</v>
      </c>
      <c r="Z164" s="143">
        <f t="shared" ca="1" si="43"/>
        <v>31</v>
      </c>
      <c r="AA164" s="348">
        <f t="shared" ca="1" si="44"/>
        <v>12</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Lun</v>
      </c>
      <c r="U165" s="186" t="str">
        <f t="shared" ca="1" si="51"/>
        <v>décembre</v>
      </c>
      <c r="X165" s="347">
        <f t="shared" ca="1" si="55"/>
        <v>46356</v>
      </c>
      <c r="Y165" s="452" t="str">
        <f t="shared" ca="1" si="52"/>
        <v>Lun. décembre , 2026</v>
      </c>
      <c r="Z165" s="143">
        <f t="shared" ca="1" si="43"/>
        <v>31</v>
      </c>
      <c r="AA165" s="348">
        <f t="shared" ca="1" si="44"/>
        <v>12</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Lun</v>
      </c>
      <c r="U166" s="186" t="str">
        <f t="shared" ca="1" si="51"/>
        <v>décembre</v>
      </c>
      <c r="X166" s="347">
        <f t="shared" ca="1" si="55"/>
        <v>46356</v>
      </c>
      <c r="Y166" s="452" t="str">
        <f t="shared" ca="1" si="52"/>
        <v>Lun. décembre , 2026</v>
      </c>
      <c r="Z166" s="143">
        <f t="shared" ca="1" si="43"/>
        <v>31</v>
      </c>
      <c r="AA166" s="348">
        <f t="shared" ca="1" si="44"/>
        <v>12</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Lun</v>
      </c>
      <c r="U167" s="186" t="str">
        <f t="shared" ca="1" si="51"/>
        <v>décembre</v>
      </c>
      <c r="X167" s="347">
        <f t="shared" ca="1" si="55"/>
        <v>46356</v>
      </c>
      <c r="Y167" s="452" t="str">
        <f t="shared" ca="1" si="52"/>
        <v>Lun. décembre , 2026</v>
      </c>
      <c r="Z167" s="143">
        <f t="shared" ca="1" si="43"/>
        <v>31</v>
      </c>
      <c r="AA167" s="348">
        <f t="shared" ca="1" si="44"/>
        <v>12</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Lun</v>
      </c>
      <c r="U168" s="186" t="str">
        <f t="shared" ca="1" si="51"/>
        <v>décembre</v>
      </c>
      <c r="X168" s="347">
        <f t="shared" ca="1" si="55"/>
        <v>46356</v>
      </c>
      <c r="Y168" s="452" t="str">
        <f t="shared" ca="1" si="52"/>
        <v>Lun. décembre , 2026</v>
      </c>
      <c r="Z168" s="143">
        <f t="shared" ca="1" si="43"/>
        <v>31</v>
      </c>
      <c r="AA168" s="348">
        <f t="shared" ca="1" si="44"/>
        <v>12</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Lun</v>
      </c>
      <c r="U169" s="186" t="str">
        <f t="shared" ca="1" si="51"/>
        <v>décembre</v>
      </c>
      <c r="X169" s="347">
        <f t="shared" ca="1" si="55"/>
        <v>46356</v>
      </c>
      <c r="Y169" s="452" t="str">
        <f t="shared" ca="1" si="52"/>
        <v>Lun. décembre , 2026</v>
      </c>
      <c r="Z169" s="143">
        <f t="shared" ca="1" si="43"/>
        <v>31</v>
      </c>
      <c r="AA169" s="348">
        <f t="shared" ca="1" si="44"/>
        <v>12</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Lun</v>
      </c>
      <c r="U170" s="186" t="str">
        <f t="shared" ca="1" si="51"/>
        <v>décembre</v>
      </c>
      <c r="X170" s="347">
        <f t="shared" ca="1" si="55"/>
        <v>46356</v>
      </c>
      <c r="Y170" s="452" t="str">
        <f t="shared" ca="1" si="52"/>
        <v>Lun. décembre , 2026</v>
      </c>
      <c r="Z170" s="143">
        <f t="shared" ca="1" si="43"/>
        <v>31</v>
      </c>
      <c r="AA170" s="348">
        <f t="shared" ca="1" si="44"/>
        <v>12</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Lun</v>
      </c>
      <c r="U171" s="186" t="str">
        <f t="shared" ca="1" si="51"/>
        <v>décembre</v>
      </c>
      <c r="X171" s="347">
        <f t="shared" ca="1" si="55"/>
        <v>46356</v>
      </c>
      <c r="Y171" s="452" t="str">
        <f t="shared" ca="1" si="52"/>
        <v>Lun. décembre , 2026</v>
      </c>
      <c r="Z171" s="143">
        <f t="shared" ca="1" si="43"/>
        <v>31</v>
      </c>
      <c r="AA171" s="348">
        <f t="shared" ca="1" si="44"/>
        <v>12</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Lun</v>
      </c>
      <c r="U172" s="186" t="str">
        <f t="shared" ca="1" si="51"/>
        <v>décembre</v>
      </c>
      <c r="X172" s="347">
        <f t="shared" ca="1" si="55"/>
        <v>46356</v>
      </c>
      <c r="Y172" s="452" t="str">
        <f t="shared" ca="1" si="52"/>
        <v>Lun. décembre , 2026</v>
      </c>
      <c r="Z172" s="143">
        <f t="shared" ca="1" si="43"/>
        <v>31</v>
      </c>
      <c r="AA172" s="348">
        <f t="shared" ca="1" si="44"/>
        <v>12</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Lun</v>
      </c>
      <c r="U173" s="186" t="str">
        <f t="shared" ca="1" si="51"/>
        <v>décembre</v>
      </c>
      <c r="X173" s="347">
        <f t="shared" ca="1" si="55"/>
        <v>46356</v>
      </c>
      <c r="Y173" s="452" t="str">
        <f t="shared" ca="1" si="52"/>
        <v>Lun. décembre , 2026</v>
      </c>
      <c r="Z173" s="143">
        <f t="shared" ca="1" si="43"/>
        <v>31</v>
      </c>
      <c r="AA173" s="348">
        <f t="shared" ca="1" si="44"/>
        <v>12</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Lun</v>
      </c>
      <c r="U174" s="186" t="str">
        <f t="shared" ca="1" si="51"/>
        <v>décembre</v>
      </c>
      <c r="X174" s="347">
        <f t="shared" ca="1" si="55"/>
        <v>46356</v>
      </c>
      <c r="Y174" s="452" t="str">
        <f t="shared" ca="1" si="52"/>
        <v>Lun. décembre , 2026</v>
      </c>
      <c r="Z174" s="143">
        <f t="shared" ca="1" si="43"/>
        <v>31</v>
      </c>
      <c r="AA174" s="348">
        <f t="shared" ca="1" si="44"/>
        <v>12</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Lun</v>
      </c>
      <c r="U175" s="186" t="str">
        <f t="shared" ca="1" si="51"/>
        <v>décembre</v>
      </c>
      <c r="X175" s="347">
        <f t="shared" ca="1" si="55"/>
        <v>46356</v>
      </c>
      <c r="Y175" s="452" t="str">
        <f t="shared" ca="1" si="52"/>
        <v>Lun. décembre , 2026</v>
      </c>
      <c r="Z175" s="143">
        <f t="shared" ca="1" si="43"/>
        <v>31</v>
      </c>
      <c r="AA175" s="348">
        <f t="shared" ca="1" si="44"/>
        <v>12</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Lun</v>
      </c>
      <c r="U176" s="186" t="str">
        <f t="shared" ca="1" si="51"/>
        <v>décembre</v>
      </c>
      <c r="X176" s="347">
        <f t="shared" ca="1" si="55"/>
        <v>46356</v>
      </c>
      <c r="Y176" s="452" t="str">
        <f t="shared" ca="1" si="52"/>
        <v>Lun. décembre , 2026</v>
      </c>
      <c r="Z176" s="143">
        <f t="shared" ca="1" si="43"/>
        <v>31</v>
      </c>
      <c r="AA176" s="348">
        <f t="shared" ca="1" si="44"/>
        <v>12</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Lun</v>
      </c>
      <c r="U177" s="186" t="str">
        <f t="shared" ca="1" si="51"/>
        <v>décembre</v>
      </c>
      <c r="X177" s="347">
        <f t="shared" ca="1" si="55"/>
        <v>46356</v>
      </c>
      <c r="Y177" s="452" t="str">
        <f t="shared" ca="1" si="52"/>
        <v>Lun. décembre , 2026</v>
      </c>
      <c r="Z177" s="143">
        <f t="shared" ca="1" si="43"/>
        <v>31</v>
      </c>
      <c r="AA177" s="348">
        <f t="shared" ca="1" si="44"/>
        <v>12</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Lun</v>
      </c>
      <c r="U178" s="186" t="str">
        <f t="shared" ca="1" si="51"/>
        <v>décembre</v>
      </c>
      <c r="X178" s="347">
        <f t="shared" ca="1" si="55"/>
        <v>46356</v>
      </c>
      <c r="Y178" s="452" t="str">
        <f t="shared" ca="1" si="52"/>
        <v>Lun. décembre , 2026</v>
      </c>
      <c r="Z178" s="143">
        <f t="shared" ca="1" si="43"/>
        <v>31</v>
      </c>
      <c r="AA178" s="348">
        <f t="shared" ca="1" si="44"/>
        <v>12</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Lun</v>
      </c>
      <c r="U179" s="186" t="str">
        <f t="shared" ca="1" si="51"/>
        <v>décembre</v>
      </c>
      <c r="X179" s="347">
        <f t="shared" ca="1" si="55"/>
        <v>46356</v>
      </c>
      <c r="Y179" s="452" t="str">
        <f t="shared" ca="1" si="52"/>
        <v>Lun. décembre , 2026</v>
      </c>
      <c r="Z179" s="143">
        <f t="shared" ca="1" si="43"/>
        <v>31</v>
      </c>
      <c r="AA179" s="348">
        <f t="shared" ca="1" si="44"/>
        <v>12</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Lun</v>
      </c>
      <c r="U180" s="186" t="str">
        <f t="shared" ca="1" si="51"/>
        <v>décembre</v>
      </c>
      <c r="X180" s="347">
        <f t="shared" ca="1" si="55"/>
        <v>46356</v>
      </c>
      <c r="Y180" s="452" t="str">
        <f t="shared" ca="1" si="52"/>
        <v>Lun. décembre , 2026</v>
      </c>
      <c r="Z180" s="143">
        <f t="shared" ca="1" si="43"/>
        <v>31</v>
      </c>
      <c r="AA180" s="348">
        <f t="shared" ca="1" si="44"/>
        <v>12</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Lun</v>
      </c>
      <c r="U181" s="186" t="str">
        <f t="shared" ca="1" si="51"/>
        <v>décembre</v>
      </c>
      <c r="X181" s="347">
        <f t="shared" ca="1" si="55"/>
        <v>46356</v>
      </c>
      <c r="Y181" s="452" t="str">
        <f t="shared" ca="1" si="52"/>
        <v>Lun. décembre , 2026</v>
      </c>
      <c r="Z181" s="143">
        <f t="shared" ca="1" si="43"/>
        <v>31</v>
      </c>
      <c r="AA181" s="348">
        <f t="shared" ca="1" si="44"/>
        <v>12</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Lun</v>
      </c>
      <c r="U182" s="186" t="str">
        <f t="shared" ca="1" si="51"/>
        <v>décembre</v>
      </c>
      <c r="X182" s="347">
        <f t="shared" ca="1" si="55"/>
        <v>46356</v>
      </c>
      <c r="Y182" s="452" t="str">
        <f t="shared" ca="1" si="52"/>
        <v>Lun. décembre , 2026</v>
      </c>
      <c r="Z182" s="143">
        <f t="shared" ca="1" si="43"/>
        <v>31</v>
      </c>
      <c r="AA182" s="348">
        <f t="shared" ca="1" si="44"/>
        <v>12</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Lun</v>
      </c>
      <c r="U183" s="186" t="str">
        <f t="shared" ca="1" si="51"/>
        <v>décembre</v>
      </c>
      <c r="X183" s="347">
        <f t="shared" ca="1" si="55"/>
        <v>46356</v>
      </c>
      <c r="Y183" s="452" t="str">
        <f t="shared" ca="1" si="52"/>
        <v>Lun. décembre , 2026</v>
      </c>
      <c r="Z183" s="143">
        <f t="shared" ca="1" si="43"/>
        <v>31</v>
      </c>
      <c r="AA183" s="348">
        <f t="shared" ca="1" si="44"/>
        <v>12</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Lun</v>
      </c>
      <c r="U184" s="186" t="str">
        <f t="shared" ca="1" si="51"/>
        <v>décembre</v>
      </c>
      <c r="X184" s="347">
        <f t="shared" ca="1" si="55"/>
        <v>46356</v>
      </c>
      <c r="Y184" s="452" t="str">
        <f t="shared" ca="1" si="52"/>
        <v>Lun. décembre , 2026</v>
      </c>
      <c r="Z184" s="143">
        <f t="shared" ca="1" si="43"/>
        <v>31</v>
      </c>
      <c r="AA184" s="348">
        <f t="shared" ca="1" si="44"/>
        <v>12</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Lun</v>
      </c>
      <c r="U185" s="186" t="str">
        <f t="shared" ca="1" si="51"/>
        <v>décembre</v>
      </c>
      <c r="X185" s="347">
        <f t="shared" ca="1" si="55"/>
        <v>46356</v>
      </c>
      <c r="Y185" s="452" t="str">
        <f t="shared" ca="1" si="52"/>
        <v>Lun. décembre , 2026</v>
      </c>
      <c r="Z185" s="143">
        <f t="shared" ca="1" si="43"/>
        <v>31</v>
      </c>
      <c r="AA185" s="348">
        <f t="shared" ca="1" si="44"/>
        <v>12</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Lun</v>
      </c>
      <c r="U186" s="186" t="str">
        <f t="shared" ca="1" si="51"/>
        <v>décembre</v>
      </c>
      <c r="X186" s="347">
        <f t="shared" ca="1" si="55"/>
        <v>46356</v>
      </c>
      <c r="Y186" s="452" t="str">
        <f t="shared" ca="1" si="52"/>
        <v>Lun. décembre , 2026</v>
      </c>
      <c r="Z186" s="143">
        <f t="shared" ca="1" si="43"/>
        <v>31</v>
      </c>
      <c r="AA186" s="348">
        <f t="shared" ca="1" si="44"/>
        <v>12</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Lun</v>
      </c>
      <c r="U187" s="186" t="str">
        <f t="shared" ca="1" si="51"/>
        <v>décembre</v>
      </c>
      <c r="X187" s="347">
        <f t="shared" ca="1" si="55"/>
        <v>46356</v>
      </c>
      <c r="Y187" s="452" t="str">
        <f t="shared" ca="1" si="52"/>
        <v>Lun. décembre , 2026</v>
      </c>
      <c r="Z187" s="143">
        <f t="shared" ca="1" si="43"/>
        <v>31</v>
      </c>
      <c r="AA187" s="348">
        <f t="shared" ca="1" si="44"/>
        <v>12</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Lun</v>
      </c>
      <c r="U188" s="186" t="str">
        <f t="shared" ca="1" si="51"/>
        <v>décembre</v>
      </c>
      <c r="X188" s="347">
        <f t="shared" ca="1" si="55"/>
        <v>46356</v>
      </c>
      <c r="Y188" s="452" t="str">
        <f t="shared" ca="1" si="52"/>
        <v>Lun. décembre , 2026</v>
      </c>
      <c r="Z188" s="143">
        <f t="shared" ca="1" si="43"/>
        <v>31</v>
      </c>
      <c r="AA188" s="348">
        <f t="shared" ca="1" si="44"/>
        <v>12</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Lun</v>
      </c>
      <c r="U189" s="186" t="str">
        <f t="shared" ca="1" si="51"/>
        <v>décembre</v>
      </c>
      <c r="X189" s="347">
        <f t="shared" ca="1" si="55"/>
        <v>46356</v>
      </c>
      <c r="Y189" s="452" t="str">
        <f t="shared" ca="1" si="52"/>
        <v>Lun. décembre , 2026</v>
      </c>
      <c r="Z189" s="143">
        <f t="shared" ca="1" si="43"/>
        <v>31</v>
      </c>
      <c r="AA189" s="348">
        <f t="shared" ca="1" si="44"/>
        <v>12</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Lun</v>
      </c>
      <c r="U190" s="186" t="str">
        <f t="shared" ca="1" si="51"/>
        <v>décembre</v>
      </c>
      <c r="X190" s="347">
        <f t="shared" ca="1" si="55"/>
        <v>46356</v>
      </c>
      <c r="Y190" s="452" t="str">
        <f t="shared" ca="1" si="52"/>
        <v>Lun. décembre , 2026</v>
      </c>
      <c r="Z190" s="143">
        <f t="shared" ca="1" si="43"/>
        <v>31</v>
      </c>
      <c r="AA190" s="348">
        <f t="shared" ca="1" si="44"/>
        <v>12</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Lun</v>
      </c>
      <c r="U191" s="186" t="str">
        <f t="shared" ca="1" si="51"/>
        <v>décembre</v>
      </c>
      <c r="X191" s="347">
        <f t="shared" ca="1" si="55"/>
        <v>46356</v>
      </c>
      <c r="Y191" s="452" t="str">
        <f t="shared" ca="1" si="52"/>
        <v>Lun. décembre , 2026</v>
      </c>
      <c r="Z191" s="143">
        <f t="shared" ca="1" si="43"/>
        <v>31</v>
      </c>
      <c r="AA191" s="348">
        <f t="shared" ca="1" si="44"/>
        <v>12</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Lun</v>
      </c>
      <c r="U192" s="186" t="str">
        <f t="shared" ca="1" si="51"/>
        <v>décembre</v>
      </c>
      <c r="X192" s="347">
        <f t="shared" ca="1" si="55"/>
        <v>46356</v>
      </c>
      <c r="Y192" s="452" t="str">
        <f t="shared" ca="1" si="52"/>
        <v>Lun. décembre , 2026</v>
      </c>
      <c r="Z192" s="143">
        <f t="shared" ca="1" si="43"/>
        <v>31</v>
      </c>
      <c r="AA192" s="348">
        <f t="shared" ca="1" si="44"/>
        <v>12</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Lun</v>
      </c>
      <c r="U193" s="186" t="str">
        <f t="shared" ca="1" si="51"/>
        <v>décembre</v>
      </c>
      <c r="X193" s="347">
        <f t="shared" ca="1" si="55"/>
        <v>46356</v>
      </c>
      <c r="Y193" s="452" t="str">
        <f t="shared" ca="1" si="52"/>
        <v>Lun. décembre , 2026</v>
      </c>
      <c r="Z193" s="143">
        <f t="shared" ca="1" si="43"/>
        <v>31</v>
      </c>
      <c r="AA193" s="348">
        <f t="shared" ca="1" si="44"/>
        <v>12</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Lun</v>
      </c>
      <c r="U194" s="186" t="str">
        <f t="shared" ca="1" si="51"/>
        <v>décembre</v>
      </c>
      <c r="X194" s="347">
        <f t="shared" ca="1" si="55"/>
        <v>46356</v>
      </c>
      <c r="Y194" s="452" t="str">
        <f t="shared" ca="1" si="52"/>
        <v>Lun. décembre , 2026</v>
      </c>
      <c r="Z194" s="143">
        <f t="shared" ca="1" si="43"/>
        <v>31</v>
      </c>
      <c r="AA194" s="348">
        <f t="shared" ca="1" si="44"/>
        <v>12</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B13:B15">
    <cfRule type="expression" dxfId="83" priority="61" stopIfTrue="1">
      <formula>AND($AJ$2=$AF$5,$X$16=$X$13)</formula>
    </cfRule>
  </conditionalFormatting>
  <conditionalFormatting sqref="B18">
    <cfRule type="expression" dxfId="82" priority="40" stopIfTrue="1">
      <formula>(B18&gt;DATE(2000+$Y$2,$AA$21+1,1)-DATE(2000+$Y$2,$AA$21,1))</formula>
    </cfRule>
  </conditionalFormatting>
  <conditionalFormatting sqref="B20:B194">
    <cfRule type="expression" dxfId="81" priority="7" stopIfTrue="1">
      <formula>($G20="- -")</formula>
    </cfRule>
  </conditionalFormatting>
  <conditionalFormatting sqref="B16:J16">
    <cfRule type="expression" dxfId="80" priority="47" stopIfTrue="1">
      <formula>AND($AJ$2=$AF$5,$X$16=$X$13)</formula>
    </cfRule>
  </conditionalFormatting>
  <conditionalFormatting sqref="C17">
    <cfRule type="cellIs" dxfId="79" priority="46" stopIfTrue="1" operator="equal">
      <formula>"X"</formula>
    </cfRule>
  </conditionalFormatting>
  <conditionalFormatting sqref="C20:C194">
    <cfRule type="expression" dxfId="78" priority="15" stopIfTrue="1">
      <formula>($X$16=$X$14)</formula>
    </cfRule>
    <cfRule type="expression" dxfId="77" priority="16" stopIfTrue="1">
      <formula>($AV20=1)</formula>
    </cfRule>
    <cfRule type="expression" dxfId="76" priority="17" stopIfTrue="1">
      <formula>AND(D20=1+D19,G20=X20)</formula>
    </cfRule>
  </conditionalFormatting>
  <conditionalFormatting sqref="C9:J9">
    <cfRule type="expression" dxfId="75" priority="72" stopIfTrue="1">
      <formula>AND(ISNUMBER(C$9),ISNUMBER(C10),(C$9&gt;C$10))</formula>
    </cfRule>
  </conditionalFormatting>
  <conditionalFormatting sqref="C10:J10">
    <cfRule type="expression" dxfId="74" priority="78" stopIfTrue="1">
      <formula>AND(ISNUMBER(C$9),ISNUMBER(C10),(C$9&gt;C$10))</formula>
    </cfRule>
  </conditionalFormatting>
  <conditionalFormatting sqref="D20">
    <cfRule type="expression" dxfId="73" priority="19" stopIfTrue="1">
      <formula>AND($G20&lt;&gt;"- -",$G20&lt;&gt;$Y20)</formula>
    </cfRule>
    <cfRule type="expression" dxfId="72" priority="20" stopIfTrue="1">
      <formula>($AI20=1)</formula>
    </cfRule>
  </conditionalFormatting>
  <conditionalFormatting sqref="D21:D194">
    <cfRule type="expression" dxfId="71" priority="64" stopIfTrue="1">
      <formula>($AI21=1)</formula>
    </cfRule>
    <cfRule type="expression" dxfId="70" priority="63" stopIfTrue="1">
      <formula>AND($G21&lt;&gt;"- -",$G21&lt;&gt;$Y21)</formula>
    </cfRule>
  </conditionalFormatting>
  <conditionalFormatting sqref="D18:G19">
    <cfRule type="expression" dxfId="69" priority="39" stopIfTrue="1">
      <formula>($AB$16&lt;2)</formula>
    </cfRule>
  </conditionalFormatting>
  <conditionalFormatting sqref="D20:G194">
    <cfRule type="expression" dxfId="68" priority="18" stopIfTrue="1">
      <formula>OR($G20=$G19,$D20=$D19)</formula>
    </cfRule>
  </conditionalFormatting>
  <conditionalFormatting sqref="E8:F8">
    <cfRule type="expression" dxfId="67" priority="74" stopIfTrue="1">
      <formula>AND(ISNUMBER(E$9),ISNUMBER(E10),(E$9&gt;E$10))</formula>
    </cfRule>
    <cfRule type="expression" dxfId="66" priority="73" stopIfTrue="1">
      <formula>(BJ$13&gt;0)</formula>
    </cfRule>
  </conditionalFormatting>
  <conditionalFormatting sqref="E20:G20">
    <cfRule type="expression" dxfId="65" priority="23" stopIfTrue="1">
      <formula>($AI20+$AX20&gt;0)</formula>
    </cfRule>
    <cfRule type="expression" dxfId="64" priority="22" stopIfTrue="1">
      <formula>AND($G20&lt;&gt;"- -",$G20&lt;&gt;$Y20)</formula>
    </cfRule>
  </conditionalFormatting>
  <conditionalFormatting sqref="E21:G194">
    <cfRule type="expression" dxfId="63" priority="67" stopIfTrue="1">
      <formula>($AI21+$AX21&gt;0)</formula>
    </cfRule>
    <cfRule type="expression" dxfId="62" priority="66" stopIfTrue="1">
      <formula>AND($G21&lt;&gt;"- -",$G21&lt;&gt;$Y21)</formula>
    </cfRule>
  </conditionalFormatting>
  <conditionalFormatting sqref="G8:J8">
    <cfRule type="expression" dxfId="61" priority="76" stopIfTrue="1">
      <formula>AND(ISNUMBER(G$9),ISNUMBER(G10),(G$9&gt;G$10))</formula>
    </cfRule>
    <cfRule type="expression" dxfId="60" priority="75" stopIfTrue="1">
      <formula>(BK$13&gt;0)</formula>
    </cfRule>
  </conditionalFormatting>
  <conditionalFormatting sqref="H6:I7">
    <cfRule type="expression" dxfId="59" priority="77" stopIfTrue="1">
      <formula>AND(ISNUMBER($H$7),$H$7&lt;$I$7)</formula>
    </cfRule>
  </conditionalFormatting>
  <conditionalFormatting sqref="H21:J194">
    <cfRule type="expression" dxfId="58" priority="5" stopIfTrue="1">
      <formula>($D20=$D21)</formula>
    </cfRule>
  </conditionalFormatting>
  <conditionalFormatting sqref="J7">
    <cfRule type="cellIs" dxfId="57" priority="51" stopIfTrue="1" operator="lessThan">
      <formula>0</formula>
    </cfRule>
  </conditionalFormatting>
  <conditionalFormatting sqref="K20:K34">
    <cfRule type="expression" dxfId="56" priority="71" stopIfTrue="1">
      <formula>AND(ISNUMBER(K20),ISNUMBER(L20),OR(K20&lt;L19,K20&gt;L20))</formula>
    </cfRule>
  </conditionalFormatting>
  <conditionalFormatting sqref="K35:K194">
    <cfRule type="expression" dxfId="55" priority="60" stopIfTrue="1">
      <formula>AND(ISNUMBER(K35),OR(K35&lt;L34,K35&gt;L35,$BM35&lt;&gt;1))</formula>
    </cfRule>
  </conditionalFormatting>
  <conditionalFormatting sqref="K18:L18 BE19:BF19">
    <cfRule type="expression" dxfId="54" priority="29" stopIfTrue="1">
      <formula>($K$19=$AL$7)</formula>
    </cfRule>
  </conditionalFormatting>
  <conditionalFormatting sqref="K20:M194">
    <cfRule type="expression" dxfId="53" priority="53" stopIfTrue="1">
      <formula>OR($AJ$2=$AF$5,$AW20=0,$AV20=1,$AG20=99)</formula>
    </cfRule>
  </conditionalFormatting>
  <conditionalFormatting sqref="L20:L34">
    <cfRule type="expression" dxfId="52" priority="69" stopIfTrue="1">
      <formula>AND(ISNUMBER(L20),OR(AND(L20&lt;K19,B20&gt;1),K20&gt;L20))</formula>
    </cfRule>
  </conditionalFormatting>
  <conditionalFormatting sqref="L35:L194">
    <cfRule type="expression" dxfId="51" priority="58" stopIfTrue="1">
      <formula>AND(ISNUMBER(L35),OR(AND(L35&lt;K34,B35&gt;1),K35&gt;L35,$BN35&lt;&gt;1))</formula>
    </cfRule>
  </conditionalFormatting>
  <conditionalFormatting sqref="M19 BG20">
    <cfRule type="cellIs" dxfId="50" priority="44" stopIfTrue="1" operator="equal">
      <formula>0</formula>
    </cfRule>
    <cfRule type="expression" dxfId="49" priority="45" stopIfTrue="1">
      <formula>($AJ$2=$AF$5)</formula>
    </cfRule>
  </conditionalFormatting>
  <conditionalFormatting sqref="M20:M194">
    <cfRule type="cellIs" dxfId="48" priority="54" stopIfTrue="1" operator="lessThan">
      <formula>0</formula>
    </cfRule>
    <cfRule type="expression" dxfId="47" priority="55" stopIfTrue="1">
      <formula>($D19=$D20)</formula>
    </cfRule>
  </conditionalFormatting>
  <conditionalFormatting sqref="N19:Q19 BH20:BK20">
    <cfRule type="cellIs" dxfId="46" priority="42" stopIfTrue="1" operator="equal">
      <formula>0</formula>
    </cfRule>
    <cfRule type="expression" dxfId="45" priority="43" stopIfTrue="1">
      <formula>($AJ$2=$AF$5)</formula>
    </cfRule>
  </conditionalFormatting>
  <conditionalFormatting sqref="N20:Q194">
    <cfRule type="expression" dxfId="44" priority="52" stopIfTrue="1">
      <formula>OR($AW20=0,$AV20=1,$AG20=99,$AJ$2=$AF$5)</formula>
    </cfRule>
  </conditionalFormatting>
  <conditionalFormatting sqref="R20:R194">
    <cfRule type="expression" dxfId="43" priority="14" stopIfTrue="1">
      <formula>($AI20=1)</formula>
    </cfRule>
    <cfRule type="expression" dxfId="42" priority="13" stopIfTrue="1">
      <formula>"ND($G21&lt;&gt;""- -"",$G21&lt;&gt;TEXT(X21,""Dddd, Mmmm dd, Yyyy""))"</formula>
    </cfRule>
    <cfRule type="expression" dxfId="41" priority="12" stopIfTrue="1">
      <formula>OR($G20=$G19,$D20=$D19)</formula>
    </cfRule>
  </conditionalFormatting>
  <conditionalFormatting sqref="U5">
    <cfRule type="expression" dxfId="40" priority="25" stopIfTrue="1">
      <formula>OR($AC$7,$AC$6)</formula>
    </cfRule>
  </conditionalFormatting>
  <conditionalFormatting sqref="U18 X20:Z194 AC20:AE194 AK20:AK194 AQ20:AR194">
    <cfRule type="cellIs" dxfId="39" priority="6" stopIfTrue="1" operator="notEqual">
      <formula>U17</formula>
    </cfRule>
  </conditionalFormatting>
  <conditionalFormatting sqref="U201:AB201">
    <cfRule type="expression" dxfId="38" priority="41" stopIfTrue="1">
      <formula>(LEN($X$11)&gt;4)</formula>
    </cfRule>
  </conditionalFormatting>
  <conditionalFormatting sqref="V5:V7 J6 U6:U7">
    <cfRule type="expression" dxfId="37" priority="24" stopIfTrue="1">
      <formula>OR($AC$7,$AC$6,#REF!)</formula>
    </cfRule>
  </conditionalFormatting>
  <conditionalFormatting sqref="V19">
    <cfRule type="cellIs" dxfId="36" priority="26" stopIfTrue="1" operator="equal">
      <formula>1</formula>
    </cfRule>
  </conditionalFormatting>
  <conditionalFormatting sqref="AB6">
    <cfRule type="expression" dxfId="35" priority="32" stopIfTrue="1">
      <formula>$AC$6</formula>
    </cfRule>
  </conditionalFormatting>
  <conditionalFormatting sqref="AB7">
    <cfRule type="expression" dxfId="34" priority="31" stopIfTrue="1">
      <formula>$AC$7</formula>
    </cfRule>
  </conditionalFormatting>
  <conditionalFormatting sqref="AB20:AB194">
    <cfRule type="cellIs" dxfId="33" priority="49" stopIfTrue="1" operator="greaterThan">
      <formula>0</formula>
    </cfRule>
    <cfRule type="cellIs" dxfId="32" priority="50" stopIfTrue="1" operator="lessThan">
      <formula>0</formula>
    </cfRule>
  </conditionalFormatting>
  <conditionalFormatting sqref="AF20:AG194">
    <cfRule type="cellIs" dxfId="31" priority="35" stopIfTrue="1" operator="greaterThan">
      <formula>1</formula>
    </cfRule>
  </conditionalFormatting>
  <conditionalFormatting sqref="AJ16:AJ17 AJ20:AJ194">
    <cfRule type="cellIs" dxfId="30" priority="34" stopIfTrue="1" operator="greaterThan">
      <formula>0</formula>
    </cfRule>
  </conditionalFormatting>
  <conditionalFormatting sqref="AK2:BO2">
    <cfRule type="cellIs" dxfId="29" priority="38" stopIfTrue="1" operator="equal">
      <formula>0</formula>
    </cfRule>
  </conditionalFormatting>
  <conditionalFormatting sqref="AK5:BO6">
    <cfRule type="cellIs" dxfId="28" priority="33" stopIfTrue="1" operator="equal">
      <formula>0</formula>
    </cfRule>
  </conditionalFormatting>
  <conditionalFormatting sqref="AP20:AP194">
    <cfRule type="cellIs" dxfId="27" priority="28" stopIfTrue="1" operator="lessThan">
      <formula>999</formula>
    </cfRule>
  </conditionalFormatting>
  <conditionalFormatting sqref="AU20:AU194">
    <cfRule type="expression" dxfId="26" priority="37" stopIfTrue="1">
      <formula>LEN(AU20)&gt;2</formula>
    </cfRule>
  </conditionalFormatting>
  <conditionalFormatting sqref="AV20:AV194">
    <cfRule type="cellIs" dxfId="25" priority="36" stopIfTrue="1" operator="equal">
      <formula>1</formula>
    </cfRule>
  </conditionalFormatting>
  <conditionalFormatting sqref="AW20:AW194">
    <cfRule type="cellIs" dxfId="24" priority="48" stopIfTrue="1" operator="equal">
      <formula>0</formula>
    </cfRule>
  </conditionalFormatting>
  <conditionalFormatting sqref="BE20:BF20">
    <cfRule type="expression" dxfId="23" priority="30" stopIfTrue="1">
      <formula>($K$19=$AL$7)</formula>
    </cfRule>
  </conditionalFormatting>
  <conditionalFormatting sqref="BI10:BI12 BF11:BF12">
    <cfRule type="expression" dxfId="22" priority="9" stopIfTrue="1">
      <formula>(LEN($C$9)=0)</formula>
    </cfRule>
  </conditionalFormatting>
  <conditionalFormatting sqref="BI10:BN12 BF11:BF12">
    <cfRule type="expression" dxfId="21" priority="8" stopIfTrue="1">
      <formula>LEN($AA9)&gt;4</formula>
    </cfRule>
  </conditionalFormatting>
  <conditionalFormatting sqref="BJ10:BN12">
    <cfRule type="expression" dxfId="20" priority="11" stopIfTrue="1">
      <formula>(LEN(E$9)=0)</formula>
    </cfRule>
  </conditionalFormatting>
  <conditionalFormatting sqref="BJ13:BN13 R16:R17">
    <cfRule type="cellIs" dxfId="19" priority="27" stopIfTrue="1" operator="equal">
      <formula>0</formula>
    </cfRule>
  </conditionalFormatting>
  <conditionalFormatting sqref="BM20:BN194">
    <cfRule type="cellIs" dxfId="18" priority="56" stopIfTrue="1" operator="notEqual">
      <formula>1</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3:IV60"/>
  <sheetViews>
    <sheetView showGridLines="0" showRowColHeaders="0" workbookViewId="0">
      <pane ySplit="13" topLeftCell="A14" activePane="bottomLeft" state="frozenSplit"/>
      <selection activeCell="B25" sqref="B25"/>
      <selection pane="bottomLeft" activeCell="H8" sqref="H8"/>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3" spans="1:256" s="2" customFormat="1" ht="36.75" customHeight="1">
      <c r="B3" s="398" t="str">
        <f>'NTS ONLY_set_year'!E108</f>
        <v>Paiements à l'employeur</v>
      </c>
      <c r="C3" s="399"/>
      <c r="D3" s="399"/>
      <c r="E3" s="399"/>
      <c r="F3" s="625"/>
      <c r="G3" s="626" t="str">
        <f>Instructions!$B$5</f>
        <v xml:space="preserve">Pour en savoir plus, consultez le document : </v>
      </c>
      <c r="U3" s="454">
        <f>I7</f>
        <v>46432</v>
      </c>
      <c r="V3" s="455">
        <f>U3-44</f>
        <v>46388</v>
      </c>
    </row>
    <row r="4" spans="1:256">
      <c r="F4" s="507"/>
      <c r="G4" s="508" t="str">
        <f>Instructions!$B$6</f>
        <v>Utilisation d'une automobile – Guide fiscal</v>
      </c>
      <c r="I4" s="365">
        <f>DATE(Year_four_digits+1,1,1)</f>
        <v>46388</v>
      </c>
      <c r="U4" s="456" t="str">
        <f>TEXT(U$3,"Mmmm")</f>
        <v>February</v>
      </c>
      <c r="V4" s="456" t="str">
        <f>TEXT(V$3,"Mmmm")</f>
        <v>January</v>
      </c>
      <c r="Z4" s="828" t="s">
        <v>453</v>
      </c>
      <c r="AA4" s="829"/>
      <c r="AB4" s="829"/>
      <c r="AC4" s="829"/>
      <c r="AD4" s="829"/>
      <c r="AE4" s="829"/>
      <c r="AF4" s="746"/>
      <c r="AG4" s="746"/>
      <c r="AH4" s="746"/>
      <c r="AI4" s="746"/>
      <c r="AJ4" s="746"/>
      <c r="AK4" s="746"/>
      <c r="AL4" s="746"/>
      <c r="AM4" s="746"/>
    </row>
    <row r="5" spans="1:256" ht="4.5" customHeight="1">
      <c r="U5" s="456"/>
      <c r="V5" s="456"/>
    </row>
    <row r="6" spans="1:256" s="103" customFormat="1" ht="23.25" customHeight="1" thickBot="1">
      <c r="B6" s="824" t="str">
        <f>'NTS ONLY_set_year'!E109</f>
        <v>Inscrire ici les paiements faits à votre employeur dans l'année ou dans les 45 jours de la fin de l'année.</v>
      </c>
      <c r="C6" s="824"/>
      <c r="D6" s="824"/>
      <c r="E6" s="824"/>
      <c r="F6" s="824"/>
      <c r="G6" s="824"/>
      <c r="I6" s="365">
        <f>DATE(Year_four_digits,1,1)</f>
        <v>46023</v>
      </c>
      <c r="J6" s="103" t="str">
        <f>I7&amp;J7&amp;K7&amp;L7</f>
        <v>46432Sun. February 14, 2027</v>
      </c>
      <c r="N6" s="367" t="str">
        <f>TEXT($I$6,"Ddd, ")&amp;TEXT($I$6,"Mmmm ")&amp;TEXT($I$6,"Dd, ")&amp;TEXT($I$6,"Yyyy")</f>
        <v>Thu, January 01, 2026</v>
      </c>
      <c r="U6" s="456" t="str">
        <f>TEXT(U$3," Yyyy")</f>
        <v xml:space="preserve"> 2027</v>
      </c>
      <c r="V6" s="456" t="str">
        <f>TEXT(V$3," Yyyy")</f>
        <v xml:space="preserve"> 2027</v>
      </c>
    </row>
    <row r="7" spans="1:256" s="103" customFormat="1" ht="18" customHeight="1" thickBot="1">
      <c r="B7" s="825" t="str">
        <f>'NTS ONLY_set_year'!E107&amp;X13&amp;'NTS ONLY_set_year'!E25&amp;TEXT(I7-99,"Yyyy")&amp;" or "&amp;TEXT(I7,"Yyyy")&amp;".)"</f>
        <v>(Paiements faits de 1 janvier 2027, au 14 février 2027, peut réduire votre avantage pour automobile pour SOIT 2026 or 2027.)</v>
      </c>
      <c r="C7" s="825"/>
      <c r="D7" s="825"/>
      <c r="E7" s="825"/>
      <c r="F7" s="825"/>
      <c r="G7" s="825"/>
      <c r="I7" s="365">
        <f>DATE(Year_four_digits+1,1,45)</f>
        <v>46432</v>
      </c>
      <c r="J7" s="389" t="str">
        <f>$I$9&amp;$J$9&amp;$K$9&amp;$L$9</f>
        <v>Sun. February 14, 2027</v>
      </c>
      <c r="U7" s="457" t="str">
        <f>TEXT(U$3,"d")</f>
        <v>14</v>
      </c>
      <c r="V7" s="457" t="str">
        <f>TEXT(V$3,"d")</f>
        <v>1</v>
      </c>
      <c r="Y7" s="503" t="s">
        <v>454</v>
      </c>
      <c r="Z7" s="503" t="str">
        <f>'NTS ONLY_set_year'!E107&amp;TEXT(I7-44,"Mmmm d, Yyyy")&amp;" to "&amp;TEXT(I7,"Mmmm d, Yyyy")&amp;'NTS ONLY_set_year'!E25&amp;TEXT(I7,"Yyyy")&amp;" or "&amp;TEXT(I7-99,"Yyyy")&amp;".)"</f>
        <v>(Paiements faits de January 1, 2027 to February 14, 2027 peut réduire votre avantage pour automobile pour SOIT 2027 or 2026.)</v>
      </c>
      <c r="AA7" s="503"/>
      <c r="AB7" s="503"/>
      <c r="AC7" s="503"/>
      <c r="AD7" s="503"/>
      <c r="AE7" s="503"/>
      <c r="AF7" s="503"/>
      <c r="AG7" s="503"/>
      <c r="AH7" s="503"/>
      <c r="AI7" s="503"/>
      <c r="AJ7" s="503"/>
      <c r="AK7" s="503"/>
    </row>
    <row r="8" spans="1:256" s="103" customFormat="1" ht="18" customHeight="1" thickBot="1">
      <c r="B8" s="392"/>
      <c r="C8" s="32"/>
      <c r="D8" s="32"/>
      <c r="E8" s="32"/>
      <c r="F8" s="32"/>
      <c r="G8" s="32"/>
      <c r="I8" s="372"/>
      <c r="U8" s="456" t="str">
        <f>" "&amp;INDEX($W$11:$AH$11,MATCH(U4,$W$10:$AH$10,0))</f>
        <v xml:space="preserve"> février</v>
      </c>
      <c r="V8" s="456" t="str">
        <f>" "&amp;INDEX($W$11:$AH$11,MATCH(V4,$W$10:$AH$10,0))</f>
        <v xml:space="preserve"> janvier</v>
      </c>
      <c r="Y8" s="502"/>
      <c r="Z8" s="502"/>
      <c r="AA8" s="502"/>
      <c r="AB8" s="502"/>
      <c r="AC8" s="502"/>
      <c r="AD8" s="502"/>
      <c r="AE8" s="502"/>
      <c r="AF8" s="502"/>
      <c r="AG8" s="502"/>
      <c r="AH8" s="502"/>
      <c r="AI8" s="502"/>
      <c r="AJ8" s="502"/>
      <c r="AK8" s="502"/>
    </row>
    <row r="9" spans="1:256" s="103" customFormat="1" ht="17.100000000000001" customHeight="1" thickTop="1" thickBot="1">
      <c r="B9" s="826"/>
      <c r="C9" s="827"/>
      <c r="D9" s="827"/>
      <c r="E9" s="401"/>
      <c r="F9" s="443">
        <f>SUMIF(M$14:M$58,"Current",F$14:$F58)</f>
        <v>0</v>
      </c>
      <c r="G9" s="446" t="str">
        <f>'NTS ONLY_set_year'!E76&amp;Year_four_digits</f>
        <v>En 2026</v>
      </c>
      <c r="I9" s="366" t="str">
        <f>TEXT(DATE(Year_four_digits+1,1,45),"Ddd. ")</f>
        <v xml:space="preserve">Sun. </v>
      </c>
      <c r="J9" s="366" t="str">
        <f>TEXT(DATE(Year_four_digits+1,1,45),"Mmmm ")</f>
        <v xml:space="preserve">February </v>
      </c>
      <c r="K9" s="366" t="str">
        <f>TEXT(DATE(Year_four_digits+1,1,45),"Dd, ")</f>
        <v xml:space="preserve">14, </v>
      </c>
      <c r="L9" s="366" t="str">
        <f>TEXT(DATE(Year_four_digits+1,1,45),"Yyyy")</f>
        <v>2027</v>
      </c>
      <c r="U9" s="458" t="str">
        <f>TEXT(U3,"Mmmm d, Yyyy")&amp;","</f>
        <v>February 14, 2027,</v>
      </c>
      <c r="V9" s="458" t="str">
        <f>TEXT(V3,"Mmmm d, Yyyy")&amp;","</f>
        <v>January 1, 2027,</v>
      </c>
      <c r="Y9" s="503" t="s">
        <v>455</v>
      </c>
      <c r="Z9" s="503" t="str">
        <f>'NTS ONLY_set_year'!E107&amp;TEXT(I7-44,"Mmmm d, Yyyy")&amp;" to "&amp;TEXT(I7,"Mmmm d, Yyyy")&amp;'NTS ONLY_set_year'!E25&amp;TEXT(I7,"Yyyy")&amp;" or "&amp;TEXT(I7-99,"Yyyy")&amp;".)"</f>
        <v>(Paiements faits de January 1, 2027 to February 14, 2027 peut réduire votre avantage pour automobile pour SOIT 2027 or 2026.)</v>
      </c>
      <c r="AA9" s="503"/>
      <c r="AB9" s="503"/>
      <c r="AC9" s="503"/>
      <c r="AD9" s="503"/>
      <c r="AE9" s="503"/>
      <c r="AF9" s="503"/>
      <c r="AG9" s="503"/>
      <c r="AH9" s="503"/>
      <c r="AI9" s="503"/>
      <c r="AJ9" s="503"/>
      <c r="AK9" s="503"/>
      <c r="IV9" s="103" t="s">
        <v>321</v>
      </c>
    </row>
    <row r="10" spans="1:256" s="103" customFormat="1" ht="17.100000000000001" customHeight="1">
      <c r="B10" s="826"/>
      <c r="C10" s="827"/>
      <c r="D10" s="827"/>
      <c r="E10" s="401"/>
      <c r="F10" s="444">
        <f>SUMIF(M$14:M$58,"Next 45 days",F$14:$F59)</f>
        <v>0</v>
      </c>
      <c r="G10" s="447" t="str">
        <f>'NTS ONLY_set_year'!E77&amp;Year_four_digits+1</f>
        <v>Dans les 45 premiers jours 2027</v>
      </c>
      <c r="J10" s="390"/>
      <c r="U10" s="103" t="str">
        <f>U7&amp;U8&amp;U6&amp;","</f>
        <v>14 février 2027,</v>
      </c>
      <c r="V10" s="103" t="str">
        <f>V7&amp;V8&amp;V6&amp;","</f>
        <v>1 janvier 2027,</v>
      </c>
      <c r="W10" s="627" t="s">
        <v>272</v>
      </c>
      <c r="X10" s="627" t="s">
        <v>274</v>
      </c>
      <c r="Y10" s="627" t="s">
        <v>276</v>
      </c>
      <c r="Z10" s="627" t="s">
        <v>278</v>
      </c>
      <c r="AA10" s="627" t="s">
        <v>280</v>
      </c>
      <c r="AB10" s="627" t="s">
        <v>282</v>
      </c>
      <c r="AC10" s="627" t="s">
        <v>284</v>
      </c>
      <c r="AD10" s="627" t="s">
        <v>286</v>
      </c>
      <c r="AE10" s="627" t="s">
        <v>288</v>
      </c>
      <c r="AF10" s="627" t="s">
        <v>290</v>
      </c>
      <c r="AG10" s="627" t="s">
        <v>292</v>
      </c>
      <c r="AH10" s="627" t="s">
        <v>294</v>
      </c>
    </row>
    <row r="11" spans="1:256" s="103" customFormat="1" ht="17.100000000000001" customHeight="1" thickBot="1">
      <c r="B11" s="393"/>
      <c r="C11" s="393"/>
      <c r="D11" s="393"/>
      <c r="E11" s="402"/>
      <c r="F11" s="445">
        <f>F9+F10</f>
        <v>0</v>
      </c>
      <c r="G11" s="448" t="str">
        <f>'NTS ONLY_set_year'!E126</f>
        <v>Total</v>
      </c>
      <c r="J11" s="391"/>
      <c r="W11" s="453" t="s">
        <v>273</v>
      </c>
      <c r="X11" s="453" t="s">
        <v>275</v>
      </c>
      <c r="Y11" s="453" t="s">
        <v>277</v>
      </c>
      <c r="Z11" s="453" t="s">
        <v>279</v>
      </c>
      <c r="AA11" s="453" t="s">
        <v>281</v>
      </c>
      <c r="AB11" s="453" t="s">
        <v>283</v>
      </c>
      <c r="AC11" s="453" t="s">
        <v>285</v>
      </c>
      <c r="AD11" s="453" t="s">
        <v>287</v>
      </c>
      <c r="AE11" s="453" t="s">
        <v>289</v>
      </c>
      <c r="AF11" s="453" t="s">
        <v>291</v>
      </c>
      <c r="AG11" s="453" t="s">
        <v>293</v>
      </c>
      <c r="AH11" s="453" t="s">
        <v>295</v>
      </c>
    </row>
    <row r="12" spans="1:256" s="103" customFormat="1" ht="4.5" customHeight="1" thickTop="1">
      <c r="B12" s="393"/>
      <c r="C12" s="393"/>
      <c r="D12" s="393"/>
      <c r="E12" s="394"/>
      <c r="F12" s="400"/>
      <c r="G12" s="378"/>
      <c r="J12" s="391"/>
      <c r="W12"/>
      <c r="X12"/>
      <c r="Y12"/>
      <c r="Z12"/>
      <c r="AA12"/>
      <c r="AB12"/>
      <c r="AC12"/>
      <c r="AD12"/>
      <c r="AE12"/>
      <c r="AF12"/>
      <c r="AG12"/>
      <c r="AH12"/>
    </row>
    <row r="13" spans="1:256" s="32" customFormat="1" ht="27" customHeight="1">
      <c r="B13" s="375" t="str">
        <f>'NTS ONLY_set_year'!C48</f>
        <v>Date (dd)</v>
      </c>
      <c r="C13" s="375" t="str">
        <f>'NTS ONLY_set_year'!E93</f>
        <v>Mois (mm)</v>
      </c>
      <c r="D13" s="376" t="str">
        <f>'NTS ONLY_set_year'!E143</f>
        <v>Année (aa)</v>
      </c>
      <c r="E13" s="377"/>
      <c r="F13" s="375" t="str">
        <f>'NTS ONLY_set_year'!E16</f>
        <v>Montant</v>
      </c>
      <c r="G13" s="376" t="str">
        <f>'NTS ONLY_set_year'!E68</f>
        <v>Explication/description</v>
      </c>
      <c r="H13" s="373"/>
      <c r="I13" s="373"/>
      <c r="M13" s="373"/>
      <c r="N13" s="373"/>
      <c r="O13" s="368" t="s">
        <v>456</v>
      </c>
      <c r="P13" s="368" t="s">
        <v>457</v>
      </c>
      <c r="Q13" s="368" t="s">
        <v>458</v>
      </c>
      <c r="R13" s="368"/>
      <c r="U13" s="628" t="str">
        <f>IF('NTS ONLY_set_year'!$B$3="f",U10,U9)</f>
        <v>14 février 2027,</v>
      </c>
      <c r="V13" s="628" t="str">
        <f>IF('NTS ONLY_set_year'!$B$3="f",V10,V9)</f>
        <v>1 janvier 2027,</v>
      </c>
      <c r="W13" s="32" t="str">
        <f>IF('NTS ONLY_set_year'!$B$3="f"," au "," to ")</f>
        <v xml:space="preserve"> au </v>
      </c>
      <c r="X13" s="459" t="str">
        <f>V13&amp;W13&amp;U13</f>
        <v>1 janvier 2027, au 14 février 2027,</v>
      </c>
      <c r="Y13" s="459"/>
      <c r="Z13" s="459"/>
      <c r="AA13" s="459"/>
      <c r="AB13"/>
    </row>
    <row r="14" spans="1:256">
      <c r="A14" s="388">
        <v>1</v>
      </c>
      <c r="B14" s="363"/>
      <c r="C14" s="371"/>
      <c r="D14" s="363"/>
      <c r="E14" s="374" t="str">
        <f>IF(OR(ISBLANK($B14),ISBLANK($C14),ISBLANK($D14)),"  - -",TEXT($I14,"Ddd, ")&amp;TEXT($I14,"Mmmm ")&amp;TEXT($I14,"Dd, ")&amp;IF(D14&lt;100,2000,0)+D14)</f>
        <v xml:space="preserve">  - -</v>
      </c>
      <c r="F14" s="364"/>
      <c r="G14" s="361"/>
      <c r="I14" s="370" t="str">
        <f>IF(ISERROR(DATE(D14,C14,B14)),"--",DATE(K14,C14,B14))</f>
        <v>--</v>
      </c>
      <c r="J14" t="str">
        <f t="shared" ref="J14:J58" si="0">IF($O14&lt;&gt;1,"- -",IF($P14&lt;&gt;1,"After 45 days of "&amp;Year_four_digits+1,IF($Q14&lt;&gt;1,"Before "&amp;Year_four_digits,"OK")))</f>
        <v>- -</v>
      </c>
      <c r="K14" s="367">
        <f>IF(D14&gt;2000,0,2000)+D14</f>
        <v>2000</v>
      </c>
      <c r="L14" s="103"/>
      <c r="M14" t="str">
        <f>IF(J14="OK",IF(I14&lt;$I$4,"Current","next 45 days"),"do not count")</f>
        <v>do not count</v>
      </c>
      <c r="O14" s="369">
        <f>IF(ISNUMBER($I14),1,0)</f>
        <v>0</v>
      </c>
      <c r="P14" s="369">
        <f>IF($I14&gt;$I$7,0,1)</f>
        <v>0</v>
      </c>
      <c r="Q14" s="369">
        <f>IF($I14&lt;$I$6,0,1)</f>
        <v>1</v>
      </c>
    </row>
    <row r="15" spans="1:256">
      <c r="A15" s="388">
        <v>2</v>
      </c>
      <c r="B15" s="363"/>
      <c r="C15" s="371"/>
      <c r="D15" s="363"/>
      <c r="E15" s="374" t="str">
        <f t="shared" ref="E15:E58" si="1">IF(OR(ISBLANK($B15),ISBLANK($C15),ISBLANK($D15)),"  - -",TEXT($I15,"Ddd, ")&amp;TEXT($I15,"Mmmm ")&amp;TEXT($I15,"Dd, ")&amp;IF(D15&lt;100,2000,0)+D15)</f>
        <v xml:space="preserve">  - -</v>
      </c>
      <c r="F15" s="364"/>
      <c r="G15" s="361"/>
      <c r="I15" s="370" t="str">
        <f t="shared" ref="I15:I58" si="2">IF(ISERROR(DATE(D15,C15,B15)),"--",DATE(K15,C15,B15))</f>
        <v>--</v>
      </c>
      <c r="J15" t="str">
        <f t="shared" si="0"/>
        <v>- -</v>
      </c>
      <c r="K15" s="367">
        <f t="shared" ref="K15:K58" si="3">IF(D15&gt;2000,0,2000)+D15</f>
        <v>2000</v>
      </c>
      <c r="M15" t="str">
        <f t="shared" ref="M15:M58" si="4">IF(J15="OK",IF(I15&lt;$I$4,"Current","next 45 days"),"do not count")</f>
        <v>do not count</v>
      </c>
      <c r="O15" s="369">
        <f t="shared" ref="O15:O58" si="5">IF(ISNUMBER($I15),1,0)</f>
        <v>0</v>
      </c>
      <c r="P15" s="369">
        <f>IF($I15&gt;$I$7,0,1)</f>
        <v>0</v>
      </c>
      <c r="Q15" s="369">
        <f t="shared" ref="Q15:Q58" si="6">IF($I15&lt;$I$6,0,1)</f>
        <v>1</v>
      </c>
    </row>
    <row r="16" spans="1:256">
      <c r="A16" s="388">
        <v>3</v>
      </c>
      <c r="B16" s="363"/>
      <c r="C16" s="371"/>
      <c r="D16" s="363"/>
      <c r="E16" s="374" t="str">
        <f t="shared" si="1"/>
        <v xml:space="preserve">  - -</v>
      </c>
      <c r="F16" s="364"/>
      <c r="G16" s="361"/>
      <c r="I16" s="370" t="str">
        <f t="shared" si="2"/>
        <v>--</v>
      </c>
      <c r="J16" t="str">
        <f t="shared" si="0"/>
        <v>- -</v>
      </c>
      <c r="K16" s="367">
        <f t="shared" si="3"/>
        <v>2000</v>
      </c>
      <c r="M16" t="str">
        <f t="shared" si="4"/>
        <v>do not count</v>
      </c>
      <c r="O16" s="369">
        <f t="shared" si="5"/>
        <v>0</v>
      </c>
      <c r="P16" s="369">
        <f t="shared" ref="P16:P58" si="7">IF($I16&gt;$I$7,0,1)</f>
        <v>0</v>
      </c>
      <c r="Q16" s="369">
        <f t="shared" si="6"/>
        <v>1</v>
      </c>
    </row>
    <row r="17" spans="1:17">
      <c r="A17" s="388">
        <v>4</v>
      </c>
      <c r="B17" s="363"/>
      <c r="C17" s="371"/>
      <c r="D17" s="363"/>
      <c r="E17" s="374" t="str">
        <f t="shared" si="1"/>
        <v xml:space="preserve">  - -</v>
      </c>
      <c r="F17" s="364"/>
      <c r="G17" s="361"/>
      <c r="I17" s="370" t="str">
        <f t="shared" si="2"/>
        <v>--</v>
      </c>
      <c r="J17" t="str">
        <f t="shared" si="0"/>
        <v>- -</v>
      </c>
      <c r="K17" s="367">
        <f t="shared" si="3"/>
        <v>2000</v>
      </c>
      <c r="M17" t="str">
        <f t="shared" si="4"/>
        <v>do not count</v>
      </c>
      <c r="O17" s="369">
        <f t="shared" si="5"/>
        <v>0</v>
      </c>
      <c r="P17" s="369">
        <f t="shared" si="7"/>
        <v>0</v>
      </c>
      <c r="Q17" s="369">
        <f t="shared" si="6"/>
        <v>1</v>
      </c>
    </row>
    <row r="18" spans="1:17">
      <c r="A18" s="388">
        <v>5</v>
      </c>
      <c r="B18" s="363"/>
      <c r="C18" s="371"/>
      <c r="D18" s="363"/>
      <c r="E18" s="374" t="str">
        <f t="shared" si="1"/>
        <v xml:space="preserve">  - -</v>
      </c>
      <c r="F18" s="364"/>
      <c r="G18" s="361"/>
      <c r="I18" s="370" t="str">
        <f t="shared" si="2"/>
        <v>--</v>
      </c>
      <c r="J18" t="str">
        <f t="shared" si="0"/>
        <v>- -</v>
      </c>
      <c r="K18" s="367">
        <f t="shared" si="3"/>
        <v>2000</v>
      </c>
      <c r="M18" t="str">
        <f t="shared" si="4"/>
        <v>do not count</v>
      </c>
      <c r="O18" s="369">
        <f t="shared" si="5"/>
        <v>0</v>
      </c>
      <c r="P18" s="369">
        <f t="shared" si="7"/>
        <v>0</v>
      </c>
      <c r="Q18" s="369">
        <f t="shared" si="6"/>
        <v>1</v>
      </c>
    </row>
    <row r="19" spans="1:17">
      <c r="A19" s="388">
        <v>6</v>
      </c>
      <c r="B19" s="363"/>
      <c r="C19" s="371"/>
      <c r="D19" s="363"/>
      <c r="E19" s="374" t="str">
        <f t="shared" si="1"/>
        <v xml:space="preserve">  - -</v>
      </c>
      <c r="F19" s="364"/>
      <c r="G19" s="361"/>
      <c r="I19" s="370" t="str">
        <f t="shared" si="2"/>
        <v>--</v>
      </c>
      <c r="J19" t="str">
        <f t="shared" si="0"/>
        <v>- -</v>
      </c>
      <c r="K19" s="367">
        <f t="shared" si="3"/>
        <v>2000</v>
      </c>
      <c r="M19" t="str">
        <f t="shared" si="4"/>
        <v>do not count</v>
      </c>
      <c r="O19" s="369">
        <f t="shared" si="5"/>
        <v>0</v>
      </c>
      <c r="P19" s="369">
        <f t="shared" si="7"/>
        <v>0</v>
      </c>
      <c r="Q19" s="369">
        <f t="shared" si="6"/>
        <v>1</v>
      </c>
    </row>
    <row r="20" spans="1:17">
      <c r="A20" s="388">
        <v>7</v>
      </c>
      <c r="B20" s="363"/>
      <c r="C20" s="371"/>
      <c r="D20" s="363"/>
      <c r="E20" s="374" t="str">
        <f t="shared" si="1"/>
        <v xml:space="preserve">  - -</v>
      </c>
      <c r="F20" s="364"/>
      <c r="G20" s="361"/>
      <c r="I20" s="370" t="str">
        <f t="shared" si="2"/>
        <v>--</v>
      </c>
      <c r="J20" t="str">
        <f t="shared" si="0"/>
        <v>- -</v>
      </c>
      <c r="K20" s="367">
        <f t="shared" si="3"/>
        <v>2000</v>
      </c>
      <c r="M20" t="str">
        <f t="shared" si="4"/>
        <v>do not count</v>
      </c>
      <c r="O20" s="369">
        <f t="shared" si="5"/>
        <v>0</v>
      </c>
      <c r="P20" s="369">
        <f t="shared" si="7"/>
        <v>0</v>
      </c>
      <c r="Q20" s="369">
        <f t="shared" si="6"/>
        <v>1</v>
      </c>
    </row>
    <row r="21" spans="1:17">
      <c r="A21" s="388">
        <v>8</v>
      </c>
      <c r="B21" s="363"/>
      <c r="C21" s="371"/>
      <c r="D21" s="363"/>
      <c r="E21" s="374" t="str">
        <f t="shared" si="1"/>
        <v xml:space="preserve">  - -</v>
      </c>
      <c r="F21" s="364"/>
      <c r="G21" s="361"/>
      <c r="I21" s="370" t="str">
        <f t="shared" si="2"/>
        <v>--</v>
      </c>
      <c r="J21" t="str">
        <f t="shared" si="0"/>
        <v>- -</v>
      </c>
      <c r="K21" s="367">
        <f t="shared" si="3"/>
        <v>2000</v>
      </c>
      <c r="M21" t="str">
        <f t="shared" si="4"/>
        <v>do not count</v>
      </c>
      <c r="O21" s="369">
        <f t="shared" si="5"/>
        <v>0</v>
      </c>
      <c r="P21" s="369">
        <f t="shared" si="7"/>
        <v>0</v>
      </c>
      <c r="Q21" s="369">
        <f t="shared" si="6"/>
        <v>1</v>
      </c>
    </row>
    <row r="22" spans="1:17">
      <c r="A22" s="388">
        <v>9</v>
      </c>
      <c r="B22" s="363"/>
      <c r="C22" s="371"/>
      <c r="D22" s="363"/>
      <c r="E22" s="374" t="str">
        <f t="shared" si="1"/>
        <v xml:space="preserve">  - -</v>
      </c>
      <c r="F22" s="364"/>
      <c r="G22" s="361"/>
      <c r="I22" s="370" t="str">
        <f t="shared" si="2"/>
        <v>--</v>
      </c>
      <c r="J22" t="str">
        <f t="shared" si="0"/>
        <v>- -</v>
      </c>
      <c r="K22" s="367">
        <f t="shared" si="3"/>
        <v>2000</v>
      </c>
      <c r="M22" t="str">
        <f t="shared" si="4"/>
        <v>do not count</v>
      </c>
      <c r="O22" s="369">
        <f t="shared" si="5"/>
        <v>0</v>
      </c>
      <c r="P22" s="369">
        <f t="shared" si="7"/>
        <v>0</v>
      </c>
      <c r="Q22" s="369">
        <f t="shared" si="6"/>
        <v>1</v>
      </c>
    </row>
    <row r="23" spans="1:17">
      <c r="A23" s="388">
        <v>10</v>
      </c>
      <c r="B23" s="363"/>
      <c r="C23" s="371"/>
      <c r="D23" s="363"/>
      <c r="E23" s="374" t="str">
        <f t="shared" si="1"/>
        <v xml:space="preserve">  - -</v>
      </c>
      <c r="F23" s="364"/>
      <c r="G23" s="361"/>
      <c r="I23" s="370" t="str">
        <f t="shared" si="2"/>
        <v>--</v>
      </c>
      <c r="J23" t="str">
        <f t="shared" si="0"/>
        <v>- -</v>
      </c>
      <c r="K23" s="367">
        <f t="shared" si="3"/>
        <v>2000</v>
      </c>
      <c r="M23" t="str">
        <f t="shared" si="4"/>
        <v>do not count</v>
      </c>
      <c r="O23" s="369">
        <f t="shared" si="5"/>
        <v>0</v>
      </c>
      <c r="P23" s="369">
        <f t="shared" si="7"/>
        <v>0</v>
      </c>
      <c r="Q23" s="369">
        <f t="shared" si="6"/>
        <v>1</v>
      </c>
    </row>
    <row r="24" spans="1:17">
      <c r="A24" s="388">
        <v>11</v>
      </c>
      <c r="B24" s="363"/>
      <c r="C24" s="371"/>
      <c r="D24" s="363"/>
      <c r="E24" s="374" t="str">
        <f t="shared" si="1"/>
        <v xml:space="preserve">  - -</v>
      </c>
      <c r="F24" s="364"/>
      <c r="G24" s="361"/>
      <c r="I24" s="370" t="str">
        <f t="shared" si="2"/>
        <v>--</v>
      </c>
      <c r="J24" t="str">
        <f t="shared" si="0"/>
        <v>- -</v>
      </c>
      <c r="K24" s="367">
        <f t="shared" si="3"/>
        <v>2000</v>
      </c>
      <c r="M24" t="str">
        <f t="shared" si="4"/>
        <v>do not count</v>
      </c>
      <c r="O24" s="369">
        <f t="shared" si="5"/>
        <v>0</v>
      </c>
      <c r="P24" s="369">
        <f t="shared" si="7"/>
        <v>0</v>
      </c>
      <c r="Q24" s="369">
        <f t="shared" si="6"/>
        <v>1</v>
      </c>
    </row>
    <row r="25" spans="1:17">
      <c r="A25" s="388">
        <v>12</v>
      </c>
      <c r="B25" s="363"/>
      <c r="C25" s="371"/>
      <c r="D25" s="363"/>
      <c r="E25" s="374" t="str">
        <f t="shared" si="1"/>
        <v xml:space="preserve">  - -</v>
      </c>
      <c r="F25" s="364"/>
      <c r="G25" s="361"/>
      <c r="I25" s="370" t="str">
        <f t="shared" si="2"/>
        <v>--</v>
      </c>
      <c r="J25" t="str">
        <f t="shared" si="0"/>
        <v>- -</v>
      </c>
      <c r="K25" s="367">
        <f t="shared" si="3"/>
        <v>2000</v>
      </c>
      <c r="M25" t="str">
        <f t="shared" si="4"/>
        <v>do not count</v>
      </c>
      <c r="O25" s="369">
        <f t="shared" si="5"/>
        <v>0</v>
      </c>
      <c r="P25" s="369">
        <f t="shared" si="7"/>
        <v>0</v>
      </c>
      <c r="Q25" s="369">
        <f t="shared" si="6"/>
        <v>1</v>
      </c>
    </row>
    <row r="26" spans="1:17">
      <c r="A26" s="388">
        <v>13</v>
      </c>
      <c r="B26" s="363"/>
      <c r="C26" s="371"/>
      <c r="D26" s="363"/>
      <c r="E26" s="374" t="str">
        <f t="shared" si="1"/>
        <v xml:space="preserve">  - -</v>
      </c>
      <c r="F26" s="364"/>
      <c r="G26" s="361"/>
      <c r="I26" s="370" t="str">
        <f t="shared" si="2"/>
        <v>--</v>
      </c>
      <c r="J26" t="str">
        <f t="shared" si="0"/>
        <v>- -</v>
      </c>
      <c r="K26" s="367">
        <f t="shared" si="3"/>
        <v>2000</v>
      </c>
      <c r="M26" t="str">
        <f t="shared" si="4"/>
        <v>do not count</v>
      </c>
      <c r="O26" s="369">
        <f t="shared" si="5"/>
        <v>0</v>
      </c>
      <c r="P26" s="369">
        <f t="shared" si="7"/>
        <v>0</v>
      </c>
      <c r="Q26" s="369">
        <f t="shared" si="6"/>
        <v>1</v>
      </c>
    </row>
    <row r="27" spans="1:17">
      <c r="A27" s="388">
        <v>14</v>
      </c>
      <c r="B27" s="363"/>
      <c r="C27" s="371"/>
      <c r="D27" s="363"/>
      <c r="E27" s="374" t="str">
        <f t="shared" si="1"/>
        <v xml:space="preserve">  - -</v>
      </c>
      <c r="F27" s="364"/>
      <c r="G27" s="361"/>
      <c r="I27" s="370" t="str">
        <f t="shared" si="2"/>
        <v>--</v>
      </c>
      <c r="J27" t="str">
        <f t="shared" si="0"/>
        <v>- -</v>
      </c>
      <c r="K27" s="367">
        <f t="shared" si="3"/>
        <v>2000</v>
      </c>
      <c r="M27" t="str">
        <f t="shared" si="4"/>
        <v>do not count</v>
      </c>
      <c r="O27" s="369">
        <f t="shared" si="5"/>
        <v>0</v>
      </c>
      <c r="P27" s="369">
        <f t="shared" si="7"/>
        <v>0</v>
      </c>
      <c r="Q27" s="369">
        <f t="shared" si="6"/>
        <v>1</v>
      </c>
    </row>
    <row r="28" spans="1:17">
      <c r="A28" s="388">
        <v>15</v>
      </c>
      <c r="B28" s="363"/>
      <c r="C28" s="371"/>
      <c r="D28" s="363"/>
      <c r="E28" s="374" t="str">
        <f t="shared" si="1"/>
        <v xml:space="preserve">  - -</v>
      </c>
      <c r="F28" s="364"/>
      <c r="G28" s="361"/>
      <c r="I28" s="370" t="str">
        <f t="shared" si="2"/>
        <v>--</v>
      </c>
      <c r="J28" t="str">
        <f t="shared" si="0"/>
        <v>- -</v>
      </c>
      <c r="K28" s="367">
        <f t="shared" si="3"/>
        <v>2000</v>
      </c>
      <c r="M28" t="str">
        <f t="shared" si="4"/>
        <v>do not count</v>
      </c>
      <c r="O28" s="369">
        <f t="shared" si="5"/>
        <v>0</v>
      </c>
      <c r="P28" s="369">
        <f t="shared" si="7"/>
        <v>0</v>
      </c>
      <c r="Q28" s="369">
        <f t="shared" si="6"/>
        <v>1</v>
      </c>
    </row>
    <row r="29" spans="1:17">
      <c r="A29" s="388">
        <v>16</v>
      </c>
      <c r="B29" s="363"/>
      <c r="C29" s="371"/>
      <c r="D29" s="363"/>
      <c r="E29" s="374" t="str">
        <f t="shared" si="1"/>
        <v xml:space="preserve">  - -</v>
      </c>
      <c r="F29" s="364"/>
      <c r="G29" s="361"/>
      <c r="I29" s="370" t="str">
        <f t="shared" si="2"/>
        <v>--</v>
      </c>
      <c r="J29" t="str">
        <f t="shared" si="0"/>
        <v>- -</v>
      </c>
      <c r="K29" s="367">
        <f t="shared" si="3"/>
        <v>2000</v>
      </c>
      <c r="M29" t="str">
        <f t="shared" si="4"/>
        <v>do not count</v>
      </c>
      <c r="O29" s="369">
        <f t="shared" si="5"/>
        <v>0</v>
      </c>
      <c r="P29" s="369">
        <f t="shared" si="7"/>
        <v>0</v>
      </c>
      <c r="Q29" s="369">
        <f t="shared" si="6"/>
        <v>1</v>
      </c>
    </row>
    <row r="30" spans="1:17">
      <c r="A30" s="388">
        <v>17</v>
      </c>
      <c r="B30" s="363"/>
      <c r="C30" s="371"/>
      <c r="D30" s="363"/>
      <c r="E30" s="374" t="str">
        <f t="shared" si="1"/>
        <v xml:space="preserve">  - -</v>
      </c>
      <c r="F30" s="364"/>
      <c r="G30" s="361"/>
      <c r="I30" s="370" t="str">
        <f t="shared" si="2"/>
        <v>--</v>
      </c>
      <c r="J30" t="str">
        <f t="shared" si="0"/>
        <v>- -</v>
      </c>
      <c r="K30" s="367">
        <f t="shared" si="3"/>
        <v>2000</v>
      </c>
      <c r="M30" t="str">
        <f t="shared" si="4"/>
        <v>do not count</v>
      </c>
      <c r="O30" s="369">
        <f t="shared" si="5"/>
        <v>0</v>
      </c>
      <c r="P30" s="369">
        <f t="shared" si="7"/>
        <v>0</v>
      </c>
      <c r="Q30" s="369">
        <f t="shared" si="6"/>
        <v>1</v>
      </c>
    </row>
    <row r="31" spans="1:17">
      <c r="A31" s="388">
        <v>18</v>
      </c>
      <c r="B31" s="363"/>
      <c r="C31" s="371"/>
      <c r="D31" s="363"/>
      <c r="E31" s="374" t="str">
        <f t="shared" si="1"/>
        <v xml:space="preserve">  - -</v>
      </c>
      <c r="F31" s="364"/>
      <c r="G31" s="361"/>
      <c r="I31" s="370" t="str">
        <f t="shared" si="2"/>
        <v>--</v>
      </c>
      <c r="J31" t="str">
        <f t="shared" si="0"/>
        <v>- -</v>
      </c>
      <c r="K31" s="367">
        <f t="shared" si="3"/>
        <v>2000</v>
      </c>
      <c r="M31" t="str">
        <f t="shared" si="4"/>
        <v>do not count</v>
      </c>
      <c r="O31" s="369">
        <f t="shared" si="5"/>
        <v>0</v>
      </c>
      <c r="P31" s="369">
        <f t="shared" si="7"/>
        <v>0</v>
      </c>
      <c r="Q31" s="369">
        <f t="shared" si="6"/>
        <v>1</v>
      </c>
    </row>
    <row r="32" spans="1:17">
      <c r="A32" s="388">
        <v>19</v>
      </c>
      <c r="B32" s="363"/>
      <c r="C32" s="371"/>
      <c r="D32" s="363"/>
      <c r="E32" s="374" t="str">
        <f t="shared" si="1"/>
        <v xml:space="preserve">  - -</v>
      </c>
      <c r="F32" s="364"/>
      <c r="G32" s="361"/>
      <c r="I32" s="370" t="str">
        <f t="shared" si="2"/>
        <v>--</v>
      </c>
      <c r="J32" t="str">
        <f t="shared" si="0"/>
        <v>- -</v>
      </c>
      <c r="K32" s="367">
        <f t="shared" si="3"/>
        <v>2000</v>
      </c>
      <c r="M32" t="str">
        <f t="shared" si="4"/>
        <v>do not count</v>
      </c>
      <c r="O32" s="369">
        <f t="shared" si="5"/>
        <v>0</v>
      </c>
      <c r="P32" s="369">
        <f t="shared" si="7"/>
        <v>0</v>
      </c>
      <c r="Q32" s="369">
        <f t="shared" si="6"/>
        <v>1</v>
      </c>
    </row>
    <row r="33" spans="1:17">
      <c r="A33" s="388">
        <v>20</v>
      </c>
      <c r="B33" s="363"/>
      <c r="C33" s="371"/>
      <c r="D33" s="363"/>
      <c r="E33" s="374" t="str">
        <f t="shared" si="1"/>
        <v xml:space="preserve">  - -</v>
      </c>
      <c r="F33" s="364"/>
      <c r="G33" s="361"/>
      <c r="I33" s="370" t="str">
        <f t="shared" si="2"/>
        <v>--</v>
      </c>
      <c r="J33" t="str">
        <f t="shared" si="0"/>
        <v>- -</v>
      </c>
      <c r="K33" s="367">
        <f t="shared" si="3"/>
        <v>2000</v>
      </c>
      <c r="M33" t="str">
        <f t="shared" si="4"/>
        <v>do not count</v>
      </c>
      <c r="O33" s="369">
        <f t="shared" si="5"/>
        <v>0</v>
      </c>
      <c r="P33" s="369">
        <f t="shared" si="7"/>
        <v>0</v>
      </c>
      <c r="Q33" s="369">
        <f t="shared" si="6"/>
        <v>1</v>
      </c>
    </row>
    <row r="34" spans="1:17">
      <c r="A34" s="388">
        <v>21</v>
      </c>
      <c r="B34" s="363"/>
      <c r="C34" s="371"/>
      <c r="D34" s="363"/>
      <c r="E34" s="374" t="str">
        <f t="shared" si="1"/>
        <v xml:space="preserve">  - -</v>
      </c>
      <c r="F34" s="364"/>
      <c r="G34" s="361"/>
      <c r="I34" s="370" t="str">
        <f t="shared" si="2"/>
        <v>--</v>
      </c>
      <c r="J34" t="str">
        <f t="shared" si="0"/>
        <v>- -</v>
      </c>
      <c r="K34" s="367">
        <f t="shared" si="3"/>
        <v>2000</v>
      </c>
      <c r="M34" t="str">
        <f t="shared" si="4"/>
        <v>do not count</v>
      </c>
      <c r="O34" s="369">
        <f t="shared" si="5"/>
        <v>0</v>
      </c>
      <c r="P34" s="369">
        <f t="shared" si="7"/>
        <v>0</v>
      </c>
      <c r="Q34" s="369">
        <f t="shared" si="6"/>
        <v>1</v>
      </c>
    </row>
    <row r="35" spans="1:17">
      <c r="A35" s="388">
        <v>22</v>
      </c>
      <c r="B35" s="363"/>
      <c r="C35" s="371"/>
      <c r="D35" s="363"/>
      <c r="E35" s="374" t="str">
        <f t="shared" si="1"/>
        <v xml:space="preserve">  - -</v>
      </c>
      <c r="F35" s="364"/>
      <c r="G35" s="361"/>
      <c r="I35" s="370" t="str">
        <f t="shared" si="2"/>
        <v>--</v>
      </c>
      <c r="J35" t="str">
        <f t="shared" si="0"/>
        <v>- -</v>
      </c>
      <c r="K35" s="367">
        <f t="shared" si="3"/>
        <v>2000</v>
      </c>
      <c r="M35" t="str">
        <f t="shared" si="4"/>
        <v>do not count</v>
      </c>
      <c r="O35" s="369">
        <f t="shared" si="5"/>
        <v>0</v>
      </c>
      <c r="P35" s="369">
        <f t="shared" si="7"/>
        <v>0</v>
      </c>
      <c r="Q35" s="369">
        <f t="shared" si="6"/>
        <v>1</v>
      </c>
    </row>
    <row r="36" spans="1:17">
      <c r="A36" s="388">
        <v>23</v>
      </c>
      <c r="B36" s="363"/>
      <c r="C36" s="371"/>
      <c r="D36" s="363"/>
      <c r="E36" s="374" t="str">
        <f t="shared" si="1"/>
        <v xml:space="preserve">  - -</v>
      </c>
      <c r="F36" s="364"/>
      <c r="G36" s="361"/>
      <c r="I36" s="370" t="str">
        <f t="shared" si="2"/>
        <v>--</v>
      </c>
      <c r="J36" t="str">
        <f t="shared" si="0"/>
        <v>- -</v>
      </c>
      <c r="K36" s="367">
        <f t="shared" si="3"/>
        <v>2000</v>
      </c>
      <c r="M36" t="str">
        <f t="shared" si="4"/>
        <v>do not count</v>
      </c>
      <c r="O36" s="369">
        <f t="shared" si="5"/>
        <v>0</v>
      </c>
      <c r="P36" s="369">
        <f t="shared" si="7"/>
        <v>0</v>
      </c>
      <c r="Q36" s="369">
        <f t="shared" si="6"/>
        <v>1</v>
      </c>
    </row>
    <row r="37" spans="1:17">
      <c r="A37" s="388">
        <v>24</v>
      </c>
      <c r="B37" s="363"/>
      <c r="C37" s="371"/>
      <c r="D37" s="363"/>
      <c r="E37" s="374" t="str">
        <f t="shared" si="1"/>
        <v xml:space="preserve">  - -</v>
      </c>
      <c r="F37" s="364"/>
      <c r="G37" s="361"/>
      <c r="I37" s="370" t="str">
        <f t="shared" si="2"/>
        <v>--</v>
      </c>
      <c r="J37" t="str">
        <f t="shared" si="0"/>
        <v>- -</v>
      </c>
      <c r="K37" s="367">
        <f t="shared" si="3"/>
        <v>2000</v>
      </c>
      <c r="M37" t="str">
        <f t="shared" si="4"/>
        <v>do not count</v>
      </c>
      <c r="O37" s="369">
        <f t="shared" si="5"/>
        <v>0</v>
      </c>
      <c r="P37" s="369">
        <f t="shared" si="7"/>
        <v>0</v>
      </c>
      <c r="Q37" s="369">
        <f t="shared" si="6"/>
        <v>1</v>
      </c>
    </row>
    <row r="38" spans="1:17">
      <c r="A38" s="388">
        <v>25</v>
      </c>
      <c r="B38" s="363"/>
      <c r="C38" s="371"/>
      <c r="D38" s="363"/>
      <c r="E38" s="374" t="str">
        <f t="shared" si="1"/>
        <v xml:space="preserve">  - -</v>
      </c>
      <c r="F38" s="364"/>
      <c r="G38" s="361"/>
      <c r="I38" s="370" t="str">
        <f t="shared" si="2"/>
        <v>--</v>
      </c>
      <c r="J38" t="str">
        <f t="shared" si="0"/>
        <v>- -</v>
      </c>
      <c r="K38" s="367">
        <f t="shared" si="3"/>
        <v>2000</v>
      </c>
      <c r="M38" t="str">
        <f t="shared" si="4"/>
        <v>do not count</v>
      </c>
      <c r="O38" s="369">
        <f t="shared" si="5"/>
        <v>0</v>
      </c>
      <c r="P38" s="369">
        <f t="shared" si="7"/>
        <v>0</v>
      </c>
      <c r="Q38" s="369">
        <f t="shared" si="6"/>
        <v>1</v>
      </c>
    </row>
    <row r="39" spans="1:17">
      <c r="A39" s="388">
        <v>26</v>
      </c>
      <c r="B39" s="363"/>
      <c r="C39" s="371"/>
      <c r="D39" s="363"/>
      <c r="E39" s="374" t="str">
        <f t="shared" si="1"/>
        <v xml:space="preserve">  - -</v>
      </c>
      <c r="F39" s="364"/>
      <c r="G39" s="361"/>
      <c r="I39" s="370" t="str">
        <f t="shared" si="2"/>
        <v>--</v>
      </c>
      <c r="J39" t="str">
        <f t="shared" si="0"/>
        <v>- -</v>
      </c>
      <c r="K39" s="367">
        <f t="shared" si="3"/>
        <v>2000</v>
      </c>
      <c r="M39" t="str">
        <f t="shared" si="4"/>
        <v>do not count</v>
      </c>
      <c r="O39" s="369">
        <f t="shared" si="5"/>
        <v>0</v>
      </c>
      <c r="P39" s="369">
        <f t="shared" si="7"/>
        <v>0</v>
      </c>
      <c r="Q39" s="369">
        <f t="shared" si="6"/>
        <v>1</v>
      </c>
    </row>
    <row r="40" spans="1:17">
      <c r="A40" s="388">
        <v>27</v>
      </c>
      <c r="B40" s="363"/>
      <c r="C40" s="371"/>
      <c r="D40" s="363"/>
      <c r="E40" s="374" t="str">
        <f t="shared" si="1"/>
        <v xml:space="preserve">  - -</v>
      </c>
      <c r="F40" s="364"/>
      <c r="G40" s="361"/>
      <c r="I40" s="370" t="str">
        <f t="shared" si="2"/>
        <v>--</v>
      </c>
      <c r="J40" t="str">
        <f t="shared" si="0"/>
        <v>- -</v>
      </c>
      <c r="K40" s="367">
        <f t="shared" si="3"/>
        <v>2000</v>
      </c>
      <c r="M40" t="str">
        <f t="shared" si="4"/>
        <v>do not count</v>
      </c>
      <c r="O40" s="369">
        <f t="shared" si="5"/>
        <v>0</v>
      </c>
      <c r="P40" s="369">
        <f t="shared" si="7"/>
        <v>0</v>
      </c>
      <c r="Q40" s="369">
        <f t="shared" si="6"/>
        <v>1</v>
      </c>
    </row>
    <row r="41" spans="1:17">
      <c r="A41" s="388">
        <v>28</v>
      </c>
      <c r="B41" s="363"/>
      <c r="C41" s="371"/>
      <c r="D41" s="363"/>
      <c r="E41" s="374" t="str">
        <f t="shared" si="1"/>
        <v xml:space="preserve">  - -</v>
      </c>
      <c r="F41" s="364"/>
      <c r="G41" s="361"/>
      <c r="I41" s="370" t="str">
        <f t="shared" si="2"/>
        <v>--</v>
      </c>
      <c r="J41" t="str">
        <f t="shared" si="0"/>
        <v>- -</v>
      </c>
      <c r="K41" s="367">
        <f t="shared" si="3"/>
        <v>2000</v>
      </c>
      <c r="M41" t="str">
        <f t="shared" si="4"/>
        <v>do not count</v>
      </c>
      <c r="O41" s="369">
        <f t="shared" si="5"/>
        <v>0</v>
      </c>
      <c r="P41" s="369">
        <f t="shared" si="7"/>
        <v>0</v>
      </c>
      <c r="Q41" s="369">
        <f t="shared" si="6"/>
        <v>1</v>
      </c>
    </row>
    <row r="42" spans="1:17">
      <c r="A42" s="388">
        <v>29</v>
      </c>
      <c r="B42" s="363"/>
      <c r="C42" s="371"/>
      <c r="D42" s="363"/>
      <c r="E42" s="374" t="str">
        <f t="shared" si="1"/>
        <v xml:space="preserve">  - -</v>
      </c>
      <c r="F42" s="364"/>
      <c r="G42" s="361"/>
      <c r="I42" s="370" t="str">
        <f t="shared" si="2"/>
        <v>--</v>
      </c>
      <c r="J42" t="str">
        <f t="shared" si="0"/>
        <v>- -</v>
      </c>
      <c r="K42" s="367">
        <f t="shared" si="3"/>
        <v>2000</v>
      </c>
      <c r="M42" t="str">
        <f t="shared" si="4"/>
        <v>do not count</v>
      </c>
      <c r="O42" s="369">
        <f t="shared" si="5"/>
        <v>0</v>
      </c>
      <c r="P42" s="369">
        <f t="shared" si="7"/>
        <v>0</v>
      </c>
      <c r="Q42" s="369">
        <f t="shared" si="6"/>
        <v>1</v>
      </c>
    </row>
    <row r="43" spans="1:17">
      <c r="A43" s="388">
        <v>30</v>
      </c>
      <c r="B43" s="363"/>
      <c r="C43" s="371"/>
      <c r="D43" s="363"/>
      <c r="E43" s="374" t="str">
        <f t="shared" si="1"/>
        <v xml:space="preserve">  - -</v>
      </c>
      <c r="F43" s="364"/>
      <c r="G43" s="361"/>
      <c r="I43" s="370" t="str">
        <f t="shared" si="2"/>
        <v>--</v>
      </c>
      <c r="J43" t="str">
        <f t="shared" si="0"/>
        <v>- -</v>
      </c>
      <c r="K43" s="367">
        <f t="shared" si="3"/>
        <v>2000</v>
      </c>
      <c r="M43" t="str">
        <f t="shared" si="4"/>
        <v>do not count</v>
      </c>
      <c r="O43" s="369">
        <f t="shared" si="5"/>
        <v>0</v>
      </c>
      <c r="P43" s="369">
        <f t="shared" si="7"/>
        <v>0</v>
      </c>
      <c r="Q43" s="369">
        <f t="shared" si="6"/>
        <v>1</v>
      </c>
    </row>
    <row r="44" spans="1:17">
      <c r="A44" s="388">
        <v>31</v>
      </c>
      <c r="B44" s="363"/>
      <c r="C44" s="371"/>
      <c r="D44" s="363"/>
      <c r="E44" s="374" t="str">
        <f t="shared" si="1"/>
        <v xml:space="preserve">  - -</v>
      </c>
      <c r="F44" s="364"/>
      <c r="G44" s="361"/>
      <c r="I44" s="370" t="str">
        <f t="shared" si="2"/>
        <v>--</v>
      </c>
      <c r="J44" t="str">
        <f t="shared" si="0"/>
        <v>- -</v>
      </c>
      <c r="K44" s="367">
        <f t="shared" si="3"/>
        <v>2000</v>
      </c>
      <c r="M44" t="str">
        <f t="shared" si="4"/>
        <v>do not count</v>
      </c>
      <c r="O44" s="369">
        <f t="shared" si="5"/>
        <v>0</v>
      </c>
      <c r="P44" s="369">
        <f t="shared" si="7"/>
        <v>0</v>
      </c>
      <c r="Q44" s="369">
        <f t="shared" si="6"/>
        <v>1</v>
      </c>
    </row>
    <row r="45" spans="1:17">
      <c r="A45" s="388">
        <v>32</v>
      </c>
      <c r="B45" s="363"/>
      <c r="C45" s="371"/>
      <c r="D45" s="363"/>
      <c r="E45" s="374" t="str">
        <f t="shared" si="1"/>
        <v xml:space="preserve">  - -</v>
      </c>
      <c r="F45" s="364"/>
      <c r="G45" s="361"/>
      <c r="I45" s="370" t="str">
        <f t="shared" si="2"/>
        <v>--</v>
      </c>
      <c r="J45" t="str">
        <f t="shared" si="0"/>
        <v>- -</v>
      </c>
      <c r="K45" s="367">
        <f t="shared" si="3"/>
        <v>2000</v>
      </c>
      <c r="M45" t="str">
        <f t="shared" si="4"/>
        <v>do not count</v>
      </c>
      <c r="O45" s="369">
        <f t="shared" si="5"/>
        <v>0</v>
      </c>
      <c r="P45" s="369">
        <f t="shared" si="7"/>
        <v>0</v>
      </c>
      <c r="Q45" s="369">
        <f t="shared" si="6"/>
        <v>1</v>
      </c>
    </row>
    <row r="46" spans="1:17">
      <c r="A46" s="388">
        <v>33</v>
      </c>
      <c r="B46" s="363"/>
      <c r="C46" s="371"/>
      <c r="D46" s="363"/>
      <c r="E46" s="374" t="str">
        <f t="shared" si="1"/>
        <v xml:space="preserve">  - -</v>
      </c>
      <c r="F46" s="364"/>
      <c r="G46" s="361"/>
      <c r="I46" s="370" t="str">
        <f t="shared" si="2"/>
        <v>--</v>
      </c>
      <c r="J46" t="str">
        <f t="shared" si="0"/>
        <v>- -</v>
      </c>
      <c r="K46" s="367">
        <f t="shared" si="3"/>
        <v>2000</v>
      </c>
      <c r="M46" t="str">
        <f t="shared" si="4"/>
        <v>do not count</v>
      </c>
      <c r="O46" s="369">
        <f t="shared" si="5"/>
        <v>0</v>
      </c>
      <c r="P46" s="369">
        <f t="shared" si="7"/>
        <v>0</v>
      </c>
      <c r="Q46" s="369">
        <f t="shared" si="6"/>
        <v>1</v>
      </c>
    </row>
    <row r="47" spans="1:17">
      <c r="A47" s="388">
        <v>34</v>
      </c>
      <c r="B47" s="363"/>
      <c r="C47" s="371"/>
      <c r="D47" s="363"/>
      <c r="E47" s="374" t="str">
        <f t="shared" si="1"/>
        <v xml:space="preserve">  - -</v>
      </c>
      <c r="F47" s="364"/>
      <c r="G47" s="361"/>
      <c r="I47" s="370" t="str">
        <f t="shared" si="2"/>
        <v>--</v>
      </c>
      <c r="J47" t="str">
        <f t="shared" si="0"/>
        <v>- -</v>
      </c>
      <c r="K47" s="367">
        <f t="shared" si="3"/>
        <v>2000</v>
      </c>
      <c r="M47" t="str">
        <f t="shared" si="4"/>
        <v>do not count</v>
      </c>
      <c r="O47" s="369">
        <f t="shared" si="5"/>
        <v>0</v>
      </c>
      <c r="P47" s="369">
        <f t="shared" si="7"/>
        <v>0</v>
      </c>
      <c r="Q47" s="369">
        <f t="shared" si="6"/>
        <v>1</v>
      </c>
    </row>
    <row r="48" spans="1:17">
      <c r="A48" s="388">
        <v>35</v>
      </c>
      <c r="B48" s="363"/>
      <c r="C48" s="371"/>
      <c r="D48" s="363"/>
      <c r="E48" s="374" t="str">
        <f t="shared" si="1"/>
        <v xml:space="preserve">  - -</v>
      </c>
      <c r="F48" s="364"/>
      <c r="G48" s="361"/>
      <c r="I48" s="370" t="str">
        <f t="shared" si="2"/>
        <v>--</v>
      </c>
      <c r="J48" t="str">
        <f t="shared" si="0"/>
        <v>- -</v>
      </c>
      <c r="K48" s="367">
        <f t="shared" si="3"/>
        <v>2000</v>
      </c>
      <c r="M48" t="str">
        <f t="shared" si="4"/>
        <v>do not count</v>
      </c>
      <c r="O48" s="369">
        <f t="shared" si="5"/>
        <v>0</v>
      </c>
      <c r="P48" s="369">
        <f t="shared" si="7"/>
        <v>0</v>
      </c>
      <c r="Q48" s="369">
        <f t="shared" si="6"/>
        <v>1</v>
      </c>
    </row>
    <row r="49" spans="1:17">
      <c r="A49" s="388">
        <v>36</v>
      </c>
      <c r="B49" s="363"/>
      <c r="C49" s="371"/>
      <c r="D49" s="363"/>
      <c r="E49" s="374" t="str">
        <f t="shared" si="1"/>
        <v xml:space="preserve">  - -</v>
      </c>
      <c r="F49" s="364"/>
      <c r="G49" s="361"/>
      <c r="I49" s="370" t="str">
        <f t="shared" si="2"/>
        <v>--</v>
      </c>
      <c r="J49" t="str">
        <f t="shared" si="0"/>
        <v>- -</v>
      </c>
      <c r="K49" s="367">
        <f t="shared" si="3"/>
        <v>2000</v>
      </c>
      <c r="M49" t="str">
        <f t="shared" si="4"/>
        <v>do not count</v>
      </c>
      <c r="O49" s="369">
        <f t="shared" si="5"/>
        <v>0</v>
      </c>
      <c r="P49" s="369">
        <f t="shared" si="7"/>
        <v>0</v>
      </c>
      <c r="Q49" s="369">
        <f t="shared" si="6"/>
        <v>1</v>
      </c>
    </row>
    <row r="50" spans="1:17">
      <c r="A50" s="388">
        <v>37</v>
      </c>
      <c r="B50" s="363"/>
      <c r="C50" s="371"/>
      <c r="D50" s="363"/>
      <c r="E50" s="374" t="str">
        <f t="shared" si="1"/>
        <v xml:space="preserve">  - -</v>
      </c>
      <c r="F50" s="364"/>
      <c r="G50" s="361"/>
      <c r="I50" s="370" t="str">
        <f t="shared" si="2"/>
        <v>--</v>
      </c>
      <c r="J50" t="str">
        <f t="shared" si="0"/>
        <v>- -</v>
      </c>
      <c r="K50" s="367">
        <f t="shared" si="3"/>
        <v>2000</v>
      </c>
      <c r="M50" t="str">
        <f t="shared" si="4"/>
        <v>do not count</v>
      </c>
      <c r="O50" s="369">
        <f t="shared" si="5"/>
        <v>0</v>
      </c>
      <c r="P50" s="369">
        <f t="shared" si="7"/>
        <v>0</v>
      </c>
      <c r="Q50" s="369">
        <f t="shared" si="6"/>
        <v>1</v>
      </c>
    </row>
    <row r="51" spans="1:17">
      <c r="A51" s="388">
        <v>38</v>
      </c>
      <c r="B51" s="363"/>
      <c r="C51" s="371"/>
      <c r="D51" s="363"/>
      <c r="E51" s="374" t="str">
        <f t="shared" si="1"/>
        <v xml:space="preserve">  - -</v>
      </c>
      <c r="F51" s="364"/>
      <c r="G51" s="361"/>
      <c r="I51" s="370" t="str">
        <f t="shared" si="2"/>
        <v>--</v>
      </c>
      <c r="J51" t="str">
        <f t="shared" si="0"/>
        <v>- -</v>
      </c>
      <c r="K51" s="367">
        <f t="shared" si="3"/>
        <v>2000</v>
      </c>
      <c r="M51" t="str">
        <f t="shared" si="4"/>
        <v>do not count</v>
      </c>
      <c r="O51" s="369">
        <f t="shared" si="5"/>
        <v>0</v>
      </c>
      <c r="P51" s="369">
        <f t="shared" si="7"/>
        <v>0</v>
      </c>
      <c r="Q51" s="369">
        <f t="shared" si="6"/>
        <v>1</v>
      </c>
    </row>
    <row r="52" spans="1:17">
      <c r="A52" s="388">
        <v>39</v>
      </c>
      <c r="B52" s="363"/>
      <c r="C52" s="371"/>
      <c r="D52" s="363"/>
      <c r="E52" s="374" t="str">
        <f t="shared" si="1"/>
        <v xml:space="preserve">  - -</v>
      </c>
      <c r="F52" s="364"/>
      <c r="G52" s="361"/>
      <c r="I52" s="370" t="str">
        <f t="shared" si="2"/>
        <v>--</v>
      </c>
      <c r="J52" t="str">
        <f t="shared" si="0"/>
        <v>- -</v>
      </c>
      <c r="K52" s="367">
        <f t="shared" si="3"/>
        <v>2000</v>
      </c>
      <c r="M52" t="str">
        <f t="shared" si="4"/>
        <v>do not count</v>
      </c>
      <c r="O52" s="369">
        <f t="shared" si="5"/>
        <v>0</v>
      </c>
      <c r="P52" s="369">
        <f t="shared" si="7"/>
        <v>0</v>
      </c>
      <c r="Q52" s="369">
        <f t="shared" si="6"/>
        <v>1</v>
      </c>
    </row>
    <row r="53" spans="1:17">
      <c r="A53" s="388">
        <v>40</v>
      </c>
      <c r="B53" s="363"/>
      <c r="C53" s="371"/>
      <c r="D53" s="363"/>
      <c r="E53" s="374" t="str">
        <f t="shared" si="1"/>
        <v xml:space="preserve">  - -</v>
      </c>
      <c r="F53" s="364"/>
      <c r="G53" s="361"/>
      <c r="I53" s="370" t="str">
        <f t="shared" si="2"/>
        <v>--</v>
      </c>
      <c r="J53" t="str">
        <f t="shared" si="0"/>
        <v>- -</v>
      </c>
      <c r="K53" s="367">
        <f t="shared" si="3"/>
        <v>2000</v>
      </c>
      <c r="M53" t="str">
        <f t="shared" si="4"/>
        <v>do not count</v>
      </c>
      <c r="O53" s="369">
        <f t="shared" si="5"/>
        <v>0</v>
      </c>
      <c r="P53" s="369">
        <f t="shared" si="7"/>
        <v>0</v>
      </c>
      <c r="Q53" s="369">
        <f t="shared" si="6"/>
        <v>1</v>
      </c>
    </row>
    <row r="54" spans="1:17">
      <c r="A54" s="388">
        <v>41</v>
      </c>
      <c r="B54" s="363"/>
      <c r="C54" s="371"/>
      <c r="D54" s="363"/>
      <c r="E54" s="374" t="str">
        <f t="shared" si="1"/>
        <v xml:space="preserve">  - -</v>
      </c>
      <c r="F54" s="364"/>
      <c r="G54" s="361"/>
      <c r="I54" s="370" t="str">
        <f t="shared" si="2"/>
        <v>--</v>
      </c>
      <c r="J54" t="str">
        <f t="shared" si="0"/>
        <v>- -</v>
      </c>
      <c r="K54" s="367">
        <f t="shared" si="3"/>
        <v>2000</v>
      </c>
      <c r="M54" t="str">
        <f t="shared" si="4"/>
        <v>do not count</v>
      </c>
      <c r="O54" s="369">
        <f t="shared" si="5"/>
        <v>0</v>
      </c>
      <c r="P54" s="369">
        <f t="shared" si="7"/>
        <v>0</v>
      </c>
      <c r="Q54" s="369">
        <f t="shared" si="6"/>
        <v>1</v>
      </c>
    </row>
    <row r="55" spans="1:17">
      <c r="A55" s="388">
        <v>42</v>
      </c>
      <c r="B55" s="363"/>
      <c r="C55" s="371"/>
      <c r="D55" s="363"/>
      <c r="E55" s="374" t="str">
        <f t="shared" si="1"/>
        <v xml:space="preserve">  - -</v>
      </c>
      <c r="F55" s="364"/>
      <c r="G55" s="361"/>
      <c r="I55" s="370" t="str">
        <f t="shared" si="2"/>
        <v>--</v>
      </c>
      <c r="J55" t="str">
        <f t="shared" si="0"/>
        <v>- -</v>
      </c>
      <c r="K55" s="367">
        <f t="shared" si="3"/>
        <v>2000</v>
      </c>
      <c r="M55" t="str">
        <f t="shared" si="4"/>
        <v>do not count</v>
      </c>
      <c r="O55" s="369">
        <f t="shared" si="5"/>
        <v>0</v>
      </c>
      <c r="P55" s="369">
        <f t="shared" si="7"/>
        <v>0</v>
      </c>
      <c r="Q55" s="369">
        <f t="shared" si="6"/>
        <v>1</v>
      </c>
    </row>
    <row r="56" spans="1:17">
      <c r="A56" s="388">
        <v>43</v>
      </c>
      <c r="B56" s="363"/>
      <c r="C56" s="371"/>
      <c r="D56" s="363"/>
      <c r="E56" s="374" t="str">
        <f t="shared" si="1"/>
        <v xml:space="preserve">  - -</v>
      </c>
      <c r="F56" s="364"/>
      <c r="G56" s="361"/>
      <c r="I56" s="370" t="str">
        <f t="shared" si="2"/>
        <v>--</v>
      </c>
      <c r="J56" t="str">
        <f t="shared" si="0"/>
        <v>- -</v>
      </c>
      <c r="K56" s="367">
        <f t="shared" si="3"/>
        <v>2000</v>
      </c>
      <c r="M56" t="str">
        <f t="shared" si="4"/>
        <v>do not count</v>
      </c>
      <c r="O56" s="369">
        <f t="shared" si="5"/>
        <v>0</v>
      </c>
      <c r="P56" s="369">
        <f t="shared" si="7"/>
        <v>0</v>
      </c>
      <c r="Q56" s="369">
        <f t="shared" si="6"/>
        <v>1</v>
      </c>
    </row>
    <row r="57" spans="1:17">
      <c r="A57" s="388">
        <v>44</v>
      </c>
      <c r="B57" s="363"/>
      <c r="C57" s="371"/>
      <c r="D57" s="363"/>
      <c r="E57" s="374" t="str">
        <f t="shared" si="1"/>
        <v xml:space="preserve">  - -</v>
      </c>
      <c r="F57" s="364"/>
      <c r="G57" s="361"/>
      <c r="I57" s="370" t="str">
        <f t="shared" si="2"/>
        <v>--</v>
      </c>
      <c r="J57" t="str">
        <f t="shared" si="0"/>
        <v>- -</v>
      </c>
      <c r="K57" s="367">
        <f t="shared" si="3"/>
        <v>2000</v>
      </c>
      <c r="M57" t="str">
        <f t="shared" si="4"/>
        <v>do not count</v>
      </c>
      <c r="O57" s="369">
        <f t="shared" si="5"/>
        <v>0</v>
      </c>
      <c r="P57" s="369">
        <f t="shared" si="7"/>
        <v>0</v>
      </c>
      <c r="Q57" s="369">
        <f t="shared" si="6"/>
        <v>1</v>
      </c>
    </row>
    <row r="58" spans="1:17">
      <c r="A58" s="388">
        <v>45</v>
      </c>
      <c r="B58" s="363"/>
      <c r="C58" s="371"/>
      <c r="D58" s="363"/>
      <c r="E58" s="374" t="str">
        <f t="shared" si="1"/>
        <v xml:space="preserve">  - -</v>
      </c>
      <c r="F58" s="364"/>
      <c r="G58" s="361"/>
      <c r="I58" s="370" t="str">
        <f t="shared" si="2"/>
        <v>--</v>
      </c>
      <c r="J58" t="str">
        <f t="shared" si="0"/>
        <v>- -</v>
      </c>
      <c r="K58" s="367">
        <f t="shared" si="3"/>
        <v>2000</v>
      </c>
      <c r="M58" t="str">
        <f t="shared" si="4"/>
        <v>do not count</v>
      </c>
      <c r="O58" s="369">
        <f t="shared" si="5"/>
        <v>0</v>
      </c>
      <c r="P58" s="369">
        <f t="shared" si="7"/>
        <v>0</v>
      </c>
      <c r="Q58" s="369">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M14:M58">
    <cfRule type="cellIs" dxfId="15" priority="4" stopIfTrue="1" operator="equal">
      <formula>"do not count"</formula>
    </cfRule>
    <cfRule type="cellIs" dxfId="14" priority="5" stopIfTrue="1" operator="equal">
      <formula>"current"</formula>
    </cfRule>
    <cfRule type="cellIs" dxfId="13" priority="6" stopIfTrue="1" operator="equal">
      <formula>"next 45 days"</formula>
    </cfRule>
  </conditionalFormatting>
  <conditionalFormatting sqref="O14:Q58">
    <cfRule type="cellIs" dxfId="12" priority="3" stopIfTrue="1" operator="equal">
      <formula>1</formula>
    </cfRule>
  </conditionalFormatting>
  <conditionalFormatting sqref="W10 AE10">
    <cfRule type="cellIs" dxfId="11" priority="7" stopIfTrue="1" operator="equal">
      <formula>W9</formula>
    </cfRule>
  </conditionalFormatting>
  <conditionalFormatting sqref="W10">
    <cfRule type="cellIs" dxfId="10" priority="10" stopIfTrue="1" operator="equal">
      <formula>W1048515</formula>
    </cfRule>
  </conditionalFormatting>
  <conditionalFormatting sqref="X10">
    <cfRule type="cellIs" dxfId="9" priority="11" stopIfTrue="1" operator="equal">
      <formula>X1048500</formula>
    </cfRule>
  </conditionalFormatting>
  <conditionalFormatting sqref="Y10">
    <cfRule type="cellIs" dxfId="8" priority="17" stopIfTrue="1" operator="equal">
      <formula>Y1048523</formula>
    </cfRule>
  </conditionalFormatting>
  <conditionalFormatting sqref="Z10">
    <cfRule type="cellIs" dxfId="7" priority="14" stopIfTrue="1" operator="equal">
      <formula>Z1048450</formula>
    </cfRule>
  </conditionalFormatting>
  <conditionalFormatting sqref="AA10">
    <cfRule type="cellIs" dxfId="6" priority="18" stopIfTrue="1" operator="equal">
      <formula>#REF!</formula>
    </cfRule>
  </conditionalFormatting>
  <conditionalFormatting sqref="AB10 AF10">
    <cfRule type="cellIs" dxfId="5" priority="13" stopIfTrue="1" operator="equal">
      <formula>AB11</formula>
    </cfRule>
  </conditionalFormatting>
  <conditionalFormatting sqref="AC10">
    <cfRule type="cellIs" dxfId="4" priority="9" stopIfTrue="1" operator="equal">
      <formula>AC4</formula>
    </cfRule>
  </conditionalFormatting>
  <conditionalFormatting sqref="AD10">
    <cfRule type="cellIs" dxfId="3" priority="8" stopIfTrue="1" operator="equal">
      <formula>AD6</formula>
    </cfRule>
  </conditionalFormatting>
  <conditionalFormatting sqref="AE10">
    <cfRule type="cellIs" dxfId="2" priority="15" stopIfTrue="1" operator="equal">
      <formula>AE1048541</formula>
    </cfRule>
  </conditionalFormatting>
  <conditionalFormatting sqref="AG10">
    <cfRule type="cellIs" dxfId="1" priority="12" stopIfTrue="1" operator="equal">
      <formula>AG1048521</formula>
    </cfRule>
  </conditionalFormatting>
  <conditionalFormatting sqref="AH10">
    <cfRule type="cellIs" dxfId="0" priority="16" stopIfTrue="1" operator="equal">
      <formula>AH1048477</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topLeftCell="A9" zoomScale="148" zoomScaleNormal="148" workbookViewId="0">
      <selection activeCell="C14" sqref="C14"/>
    </sheetView>
  </sheetViews>
  <sheetFormatPr defaultColWidth="0" defaultRowHeight="13.2"/>
  <cols>
    <col min="1" max="1" width="4.88671875" style="490" customWidth="1"/>
    <col min="2" max="2" width="98.109375" style="475" customWidth="1"/>
    <col min="3" max="3" width="3.44140625" style="490" customWidth="1"/>
    <col min="4" max="4" width="3.44140625" style="490" hidden="1" customWidth="1"/>
    <col min="5" max="5" width="86.44140625" style="475" hidden="1" customWidth="1"/>
    <col min="6" max="6" width="122.6640625" style="475" hidden="1" customWidth="1"/>
    <col min="7" max="7" width="0" style="490" hidden="1" customWidth="1"/>
    <col min="8" max="8" width="51.109375" style="490" hidden="1" customWidth="1"/>
    <col min="9" max="255" width="0" style="490" hidden="1" customWidth="1"/>
    <col min="256" max="16384" width="2.5546875" style="490" hidden="1"/>
  </cols>
  <sheetData>
    <row r="1" spans="1:256" ht="3" customHeight="1">
      <c r="A1" s="539"/>
      <c r="B1" s="542"/>
      <c r="C1" s="539"/>
      <c r="D1" s="539"/>
      <c r="E1" s="542"/>
      <c r="F1" s="565"/>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539"/>
      <c r="BL1" s="539"/>
      <c r="BM1" s="539"/>
      <c r="BN1" s="539"/>
      <c r="BO1" s="539"/>
      <c r="BP1" s="539"/>
      <c r="BQ1" s="539"/>
      <c r="BR1" s="539"/>
      <c r="BS1" s="539"/>
      <c r="BT1" s="539"/>
      <c r="BU1" s="539"/>
      <c r="BV1" s="539"/>
      <c r="BW1" s="539"/>
      <c r="BX1" s="539"/>
      <c r="BY1" s="539"/>
      <c r="BZ1" s="539"/>
      <c r="CA1" s="539"/>
      <c r="CB1" s="539"/>
      <c r="CC1" s="539"/>
      <c r="CD1" s="539"/>
      <c r="CE1" s="539"/>
      <c r="CF1" s="539"/>
      <c r="CG1" s="539"/>
      <c r="CH1" s="539"/>
      <c r="CI1" s="539"/>
      <c r="CJ1" s="539"/>
      <c r="CK1" s="539"/>
      <c r="CL1" s="539"/>
      <c r="CM1" s="539"/>
      <c r="CN1" s="539"/>
      <c r="CO1" s="539"/>
      <c r="CP1" s="539"/>
      <c r="CQ1" s="539"/>
      <c r="CR1" s="539"/>
      <c r="CS1" s="539"/>
      <c r="CT1" s="539"/>
      <c r="CU1" s="539"/>
      <c r="CV1" s="539"/>
      <c r="CW1" s="539"/>
      <c r="CX1" s="539"/>
      <c r="CY1" s="539"/>
      <c r="CZ1" s="539"/>
      <c r="DA1" s="539"/>
      <c r="DB1" s="539"/>
      <c r="DC1" s="539"/>
      <c r="DD1" s="539"/>
      <c r="DE1" s="539"/>
      <c r="DF1" s="539"/>
      <c r="DG1" s="539"/>
      <c r="DH1" s="539"/>
      <c r="DI1" s="539"/>
      <c r="DJ1" s="539"/>
      <c r="DK1" s="539"/>
      <c r="DL1" s="539"/>
      <c r="DM1" s="539"/>
      <c r="DN1" s="539"/>
      <c r="DO1" s="539"/>
      <c r="DP1" s="539"/>
      <c r="DQ1" s="539"/>
      <c r="DR1" s="539"/>
      <c r="DS1" s="539"/>
      <c r="DT1" s="539"/>
      <c r="DU1" s="539"/>
      <c r="DV1" s="539"/>
      <c r="DW1" s="539"/>
      <c r="DX1" s="539"/>
      <c r="DY1" s="539"/>
      <c r="DZ1" s="539"/>
      <c r="EA1" s="539"/>
      <c r="EB1" s="539"/>
      <c r="EC1" s="539"/>
      <c r="ED1" s="539"/>
      <c r="EE1" s="539"/>
      <c r="EF1" s="539"/>
      <c r="EG1" s="539"/>
      <c r="EH1" s="539"/>
      <c r="EI1" s="539"/>
      <c r="EJ1" s="539"/>
      <c r="EK1" s="539"/>
      <c r="EL1" s="539"/>
      <c r="EM1" s="539"/>
      <c r="EN1" s="539"/>
      <c r="EO1" s="539"/>
      <c r="EP1" s="539"/>
      <c r="EQ1" s="539"/>
      <c r="ER1" s="539"/>
      <c r="ES1" s="539"/>
      <c r="ET1" s="539"/>
      <c r="EU1" s="539"/>
      <c r="EV1" s="539"/>
      <c r="EW1" s="539"/>
      <c r="EX1" s="539"/>
      <c r="EY1" s="539"/>
      <c r="EZ1" s="539"/>
      <c r="FA1" s="539"/>
      <c r="FB1" s="539"/>
      <c r="FC1" s="539"/>
      <c r="FD1" s="539"/>
      <c r="FE1" s="539"/>
      <c r="FF1" s="539"/>
      <c r="FG1" s="539"/>
      <c r="FH1" s="539"/>
      <c r="FI1" s="539"/>
      <c r="FJ1" s="539"/>
      <c r="FK1" s="539"/>
      <c r="FL1" s="539"/>
      <c r="FM1" s="539"/>
      <c r="FN1" s="539"/>
      <c r="FO1" s="539"/>
      <c r="FP1" s="539"/>
      <c r="FQ1" s="539"/>
      <c r="FR1" s="539"/>
      <c r="FS1" s="539"/>
      <c r="FT1" s="539"/>
      <c r="FU1" s="539"/>
      <c r="FV1" s="539"/>
      <c r="FW1" s="539"/>
      <c r="FX1" s="539"/>
      <c r="FY1" s="539"/>
      <c r="FZ1" s="539"/>
      <c r="GA1" s="539"/>
      <c r="GB1" s="539"/>
      <c r="GC1" s="539"/>
      <c r="GD1" s="539"/>
      <c r="GE1" s="539"/>
      <c r="GF1" s="539"/>
      <c r="GG1" s="539"/>
      <c r="GH1" s="539"/>
      <c r="GI1" s="539"/>
      <c r="GJ1" s="539"/>
      <c r="GK1" s="539"/>
      <c r="GL1" s="539"/>
      <c r="GM1" s="539"/>
      <c r="GN1" s="539"/>
      <c r="GO1" s="539"/>
      <c r="GP1" s="539"/>
      <c r="GQ1" s="539"/>
      <c r="GR1" s="539"/>
      <c r="GS1" s="539"/>
      <c r="GT1" s="539"/>
      <c r="GU1" s="539"/>
      <c r="GV1" s="539"/>
      <c r="GW1" s="539"/>
      <c r="GX1" s="539"/>
      <c r="GY1" s="539"/>
      <c r="GZ1" s="539"/>
      <c r="HA1" s="539"/>
      <c r="HB1" s="539"/>
      <c r="HC1" s="539"/>
      <c r="HD1" s="539"/>
      <c r="HE1" s="539"/>
      <c r="HF1" s="539"/>
      <c r="HG1" s="539"/>
      <c r="HH1" s="539"/>
      <c r="HI1" s="539"/>
      <c r="HJ1" s="539"/>
      <c r="HK1" s="539"/>
      <c r="HL1" s="539"/>
      <c r="HM1" s="539"/>
      <c r="HN1" s="539"/>
      <c r="HO1" s="539"/>
      <c r="HP1" s="539"/>
      <c r="HQ1" s="539"/>
      <c r="HR1" s="539"/>
      <c r="HS1" s="539"/>
      <c r="HT1" s="539"/>
      <c r="HU1" s="539"/>
      <c r="HV1" s="539"/>
      <c r="HW1" s="539"/>
      <c r="HX1" s="539"/>
      <c r="HY1" s="539"/>
      <c r="HZ1" s="539"/>
      <c r="IA1" s="539"/>
      <c r="IB1" s="539"/>
      <c r="IC1" s="539"/>
      <c r="ID1" s="539"/>
      <c r="IE1" s="539"/>
      <c r="IF1" s="539"/>
      <c r="IG1" s="539"/>
      <c r="IH1" s="539"/>
      <c r="II1" s="539"/>
      <c r="IJ1" s="539"/>
      <c r="IK1" s="539"/>
      <c r="IL1" s="539"/>
      <c r="IM1" s="539"/>
      <c r="IN1" s="539"/>
      <c r="IO1" s="539"/>
      <c r="IP1" s="539"/>
      <c r="IQ1" s="539"/>
      <c r="IR1" s="539"/>
      <c r="IS1" s="539"/>
      <c r="IT1" s="539"/>
      <c r="IU1" s="539"/>
      <c r="IV1" s="539"/>
    </row>
    <row r="2" spans="1:256" ht="3" customHeight="1">
      <c r="A2" s="539"/>
      <c r="B2" s="542"/>
      <c r="C2" s="539"/>
      <c r="D2" s="539"/>
      <c r="E2" s="542"/>
      <c r="F2" s="565"/>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H2" s="539"/>
      <c r="CI2" s="539"/>
      <c r="CJ2" s="539"/>
      <c r="CK2" s="539"/>
      <c r="CL2" s="539"/>
      <c r="CM2" s="539"/>
      <c r="CN2" s="539"/>
      <c r="CO2" s="539"/>
      <c r="CP2" s="539"/>
      <c r="CQ2" s="539"/>
      <c r="CR2" s="539"/>
      <c r="CS2" s="539"/>
      <c r="CT2" s="539"/>
      <c r="CU2" s="539"/>
      <c r="CV2" s="539"/>
      <c r="CW2" s="539"/>
      <c r="CX2" s="539"/>
      <c r="CY2" s="539"/>
      <c r="CZ2" s="539"/>
      <c r="DA2" s="539"/>
      <c r="DB2" s="539"/>
      <c r="DC2" s="539"/>
      <c r="DD2" s="539"/>
      <c r="DE2" s="539"/>
      <c r="DF2" s="539"/>
      <c r="DG2" s="539"/>
      <c r="DH2" s="539"/>
      <c r="DI2" s="539"/>
      <c r="DJ2" s="539"/>
      <c r="DK2" s="539"/>
      <c r="DL2" s="539"/>
      <c r="DM2" s="539"/>
      <c r="DN2" s="539"/>
      <c r="DO2" s="539"/>
      <c r="DP2" s="539"/>
      <c r="DQ2" s="539"/>
      <c r="DR2" s="539"/>
      <c r="DS2" s="539"/>
      <c r="DT2" s="539"/>
      <c r="DU2" s="539"/>
      <c r="DV2" s="539"/>
      <c r="DW2" s="539"/>
      <c r="DX2" s="539"/>
      <c r="DY2" s="539"/>
      <c r="DZ2" s="539"/>
      <c r="EA2" s="539"/>
      <c r="EB2" s="539"/>
      <c r="EC2" s="539"/>
      <c r="ED2" s="539"/>
      <c r="EE2" s="539"/>
      <c r="EF2" s="539"/>
      <c r="EG2" s="539"/>
      <c r="EH2" s="539"/>
      <c r="EI2" s="539"/>
      <c r="EJ2" s="539"/>
      <c r="EK2" s="539"/>
      <c r="EL2" s="539"/>
      <c r="EM2" s="539"/>
      <c r="EN2" s="539"/>
      <c r="EO2" s="539"/>
      <c r="EP2" s="539"/>
      <c r="EQ2" s="539"/>
      <c r="ER2" s="539"/>
      <c r="ES2" s="539"/>
      <c r="ET2" s="539"/>
      <c r="EU2" s="539"/>
      <c r="EV2" s="539"/>
      <c r="EW2" s="539"/>
      <c r="EX2" s="539"/>
      <c r="EY2" s="539"/>
      <c r="EZ2" s="539"/>
      <c r="FA2" s="539"/>
      <c r="FB2" s="539"/>
      <c r="FC2" s="539"/>
      <c r="FD2" s="539"/>
      <c r="FE2" s="539"/>
      <c r="FF2" s="539"/>
      <c r="FG2" s="539"/>
      <c r="FH2" s="539"/>
      <c r="FI2" s="539"/>
      <c r="FJ2" s="539"/>
      <c r="FK2" s="539"/>
      <c r="FL2" s="539"/>
      <c r="FM2" s="539"/>
      <c r="FN2" s="539"/>
      <c r="FO2" s="539"/>
      <c r="FP2" s="539"/>
      <c r="FQ2" s="539"/>
      <c r="FR2" s="539"/>
      <c r="FS2" s="539"/>
      <c r="FT2" s="539"/>
      <c r="FU2" s="539"/>
      <c r="FV2" s="539"/>
      <c r="FW2" s="539"/>
      <c r="FX2" s="539"/>
      <c r="FY2" s="539"/>
      <c r="FZ2" s="539"/>
      <c r="GA2" s="539"/>
      <c r="GB2" s="539"/>
      <c r="GC2" s="539"/>
      <c r="GD2" s="539"/>
      <c r="GE2" s="539"/>
      <c r="GF2" s="539"/>
      <c r="GG2" s="539"/>
      <c r="GH2" s="539"/>
      <c r="GI2" s="539"/>
      <c r="GJ2" s="539"/>
      <c r="GK2" s="539"/>
      <c r="GL2" s="539"/>
      <c r="GM2" s="539"/>
      <c r="GN2" s="539"/>
      <c r="GO2" s="539"/>
      <c r="GP2" s="539"/>
      <c r="GQ2" s="539"/>
      <c r="GR2" s="539"/>
      <c r="GS2" s="539"/>
      <c r="GT2" s="539"/>
      <c r="GU2" s="539"/>
      <c r="GV2" s="539"/>
      <c r="GW2" s="539"/>
      <c r="GX2" s="539"/>
      <c r="GY2" s="539"/>
      <c r="GZ2" s="539"/>
      <c r="HA2" s="539"/>
      <c r="HB2" s="539"/>
      <c r="HC2" s="539"/>
      <c r="HD2" s="539"/>
      <c r="HE2" s="539"/>
      <c r="HF2" s="539"/>
      <c r="HG2" s="539"/>
      <c r="HH2" s="539"/>
      <c r="HI2" s="539"/>
      <c r="HJ2" s="539"/>
      <c r="HK2" s="539"/>
      <c r="HL2" s="539"/>
      <c r="HM2" s="539"/>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c r="IT2" s="539"/>
      <c r="IU2" s="539"/>
      <c r="IV2" s="539"/>
    </row>
    <row r="3" spans="1:256" ht="45.6">
      <c r="A3" s="539"/>
      <c r="B3" s="523" t="str">
        <f>IF(ISBLANK(E3),"",IF(Language="f",F3,E3))</f>
        <v>Journal de bord avantages et dépenses
d'automobile – instructions d'utilisation</v>
      </c>
      <c r="C3" s="566"/>
      <c r="D3" s="566"/>
      <c r="E3" s="488" t="s">
        <v>319</v>
      </c>
      <c r="F3" s="489" t="s">
        <v>320</v>
      </c>
      <c r="G3" s="566"/>
      <c r="H3" s="539"/>
      <c r="I3" s="566"/>
      <c r="J3" s="566"/>
      <c r="K3" s="566"/>
      <c r="L3" s="566"/>
      <c r="M3" s="566"/>
      <c r="N3" s="566"/>
      <c r="O3" s="566"/>
      <c r="P3" s="566"/>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c r="IV3" s="539"/>
    </row>
    <row r="4" spans="1:256" ht="6" customHeight="1">
      <c r="A4" s="539"/>
      <c r="B4" s="524" t="str">
        <f t="shared" ref="B4:B41" si="0">IF(ISBLANK(E4),"",IF(Language="f",F4,E4))</f>
        <v/>
      </c>
      <c r="C4" s="539"/>
      <c r="D4" s="539"/>
      <c r="E4" s="487"/>
      <c r="F4" s="44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c r="IT4" s="539"/>
      <c r="IU4" s="539"/>
      <c r="IV4" s="539" t="s">
        <v>321</v>
      </c>
    </row>
    <row r="5" spans="1:256" ht="15.9" customHeight="1">
      <c r="A5" s="539"/>
      <c r="B5" s="543" t="str">
        <f t="shared" si="0"/>
        <v xml:space="preserve">Pour en savoir plus, consultez le document : </v>
      </c>
      <c r="C5" s="539"/>
      <c r="D5" s="539"/>
      <c r="E5" s="567" t="s">
        <v>322</v>
      </c>
      <c r="F5" s="568" t="s">
        <v>323</v>
      </c>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c r="IT5" s="539"/>
      <c r="IU5" s="539"/>
      <c r="IV5" s="539"/>
    </row>
    <row r="6" spans="1:256" ht="15.75" customHeight="1">
      <c r="A6" s="539"/>
      <c r="B6" s="544" t="str">
        <f t="shared" si="0"/>
        <v>Utilisation d'une automobile – Guide fiscal</v>
      </c>
      <c r="C6" s="539"/>
      <c r="D6" s="539"/>
      <c r="E6" s="569" t="s">
        <v>324</v>
      </c>
      <c r="F6" s="491" t="s">
        <v>325</v>
      </c>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c r="IT6" s="539"/>
      <c r="IU6" s="539"/>
      <c r="IV6" s="539"/>
    </row>
    <row r="7" spans="1:256" ht="7.5" customHeight="1">
      <c r="A7" s="539"/>
      <c r="B7" s="449" t="str">
        <f t="shared" si="0"/>
        <v/>
      </c>
      <c r="C7" s="539"/>
      <c r="D7" s="539"/>
      <c r="E7" s="487"/>
      <c r="F7" s="44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c r="IT7" s="539"/>
      <c r="IU7" s="539"/>
      <c r="IV7" s="539"/>
    </row>
    <row r="8" spans="1:256" s="492" customFormat="1" ht="13.8">
      <c r="A8" s="541"/>
      <c r="B8" s="493" t="str">
        <f t="shared" si="0"/>
        <v>Couleurs utilisées dans la feuille de calcul</v>
      </c>
      <c r="C8" s="541"/>
      <c r="D8" s="541"/>
      <c r="E8" s="494" t="s">
        <v>326</v>
      </c>
      <c r="F8" s="493" t="s">
        <v>327</v>
      </c>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c r="DP8" s="541"/>
      <c r="DQ8" s="541"/>
      <c r="DR8" s="541"/>
      <c r="DS8" s="541"/>
      <c r="DT8" s="541"/>
      <c r="DU8" s="541"/>
      <c r="DV8" s="541"/>
      <c r="DW8" s="541"/>
      <c r="DX8" s="541"/>
      <c r="DY8" s="541"/>
      <c r="DZ8" s="541"/>
      <c r="EA8" s="541"/>
      <c r="EB8" s="541"/>
      <c r="EC8" s="541"/>
      <c r="ED8" s="541"/>
      <c r="EE8" s="541"/>
      <c r="EF8" s="541"/>
      <c r="EG8" s="541"/>
      <c r="EH8" s="541"/>
      <c r="EI8" s="541"/>
      <c r="EJ8" s="541"/>
      <c r="EK8" s="541"/>
      <c r="EL8" s="541"/>
      <c r="EM8" s="541"/>
      <c r="EN8" s="541"/>
      <c r="EO8" s="541"/>
      <c r="EP8" s="541"/>
      <c r="EQ8" s="541"/>
      <c r="ER8" s="541"/>
      <c r="ES8" s="541"/>
      <c r="ET8" s="541"/>
      <c r="EU8" s="541"/>
      <c r="EV8" s="541"/>
      <c r="EW8" s="541"/>
      <c r="EX8" s="541"/>
      <c r="EY8" s="541"/>
      <c r="EZ8" s="541"/>
      <c r="FA8" s="541"/>
      <c r="FB8" s="541"/>
      <c r="FC8" s="541"/>
      <c r="FD8" s="541"/>
      <c r="FE8" s="541"/>
      <c r="FF8" s="541"/>
      <c r="FG8" s="541"/>
      <c r="FH8" s="541"/>
      <c r="FI8" s="541"/>
      <c r="FJ8" s="541"/>
      <c r="FK8" s="541"/>
      <c r="FL8" s="541"/>
      <c r="FM8" s="541"/>
      <c r="FN8" s="541"/>
      <c r="FO8" s="541"/>
      <c r="FP8" s="541"/>
      <c r="FQ8" s="541"/>
      <c r="FR8" s="541"/>
      <c r="FS8" s="541"/>
      <c r="FT8" s="541"/>
      <c r="FU8" s="541"/>
      <c r="FV8" s="541"/>
      <c r="FW8" s="541"/>
      <c r="FX8" s="541"/>
      <c r="FY8" s="541"/>
      <c r="FZ8" s="541"/>
      <c r="GA8" s="541"/>
      <c r="GB8" s="541"/>
      <c r="GC8" s="541"/>
      <c r="GD8" s="541"/>
      <c r="GE8" s="541"/>
      <c r="GF8" s="541"/>
      <c r="GG8" s="541"/>
      <c r="GH8" s="541"/>
      <c r="GI8" s="541"/>
      <c r="GJ8" s="541"/>
      <c r="GK8" s="541"/>
      <c r="GL8" s="541"/>
      <c r="GM8" s="541"/>
      <c r="GN8" s="541"/>
      <c r="GO8" s="541"/>
      <c r="GP8" s="541"/>
      <c r="GQ8" s="541"/>
      <c r="GR8" s="541"/>
      <c r="GS8" s="541"/>
      <c r="GT8" s="541"/>
      <c r="GU8" s="541"/>
      <c r="GV8" s="541"/>
      <c r="GW8" s="541"/>
      <c r="GX8" s="541"/>
      <c r="GY8" s="541"/>
      <c r="GZ8" s="541"/>
      <c r="HA8" s="541"/>
      <c r="HB8" s="541"/>
      <c r="HC8" s="541"/>
      <c r="HD8" s="541"/>
      <c r="HE8" s="541"/>
      <c r="HF8" s="541"/>
      <c r="HG8" s="541"/>
      <c r="HH8" s="541"/>
      <c r="HI8" s="541"/>
      <c r="HJ8" s="541"/>
      <c r="HK8" s="541"/>
      <c r="HL8" s="541"/>
      <c r="HM8" s="541"/>
      <c r="HN8" s="541"/>
      <c r="HO8" s="541"/>
      <c r="HP8" s="541"/>
      <c r="HQ8" s="541"/>
      <c r="HR8" s="541"/>
      <c r="HS8" s="541"/>
      <c r="HT8" s="541"/>
      <c r="HU8" s="541"/>
      <c r="HV8" s="541"/>
      <c r="HW8" s="541"/>
      <c r="HX8" s="541"/>
      <c r="HY8" s="541"/>
      <c r="HZ8" s="541"/>
      <c r="IA8" s="541"/>
      <c r="IB8" s="541"/>
      <c r="IC8" s="541"/>
      <c r="ID8" s="541"/>
      <c r="IE8" s="541"/>
      <c r="IF8" s="541"/>
      <c r="IG8" s="541"/>
      <c r="IH8" s="541"/>
      <c r="II8" s="541"/>
      <c r="IJ8" s="541"/>
      <c r="IK8" s="541"/>
      <c r="IL8" s="541"/>
      <c r="IM8" s="541"/>
      <c r="IN8" s="541"/>
      <c r="IO8" s="541"/>
      <c r="IP8" s="541"/>
      <c r="IQ8" s="541"/>
      <c r="IR8" s="541"/>
      <c r="IS8" s="541"/>
      <c r="IT8" s="541"/>
      <c r="IU8" s="541"/>
      <c r="IV8" s="541"/>
    </row>
    <row r="9" spans="1:256" s="492" customFormat="1">
      <c r="A9" s="541"/>
      <c r="B9" s="495" t="str">
        <f t="shared" si="0"/>
        <v>Les couleurs qui apparaissent dans les cellules ont les significations suivantes.</v>
      </c>
      <c r="C9" s="541"/>
      <c r="D9" s="541"/>
      <c r="E9" s="496" t="s">
        <v>328</v>
      </c>
      <c r="F9" s="495" t="s">
        <v>329</v>
      </c>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c r="EA9" s="541"/>
      <c r="EB9" s="541"/>
      <c r="EC9" s="54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c r="IS9" s="541"/>
      <c r="IT9" s="541"/>
      <c r="IU9" s="541"/>
      <c r="IV9" s="541"/>
    </row>
    <row r="10" spans="1:256" s="492" customFormat="1">
      <c r="A10" s="541"/>
      <c r="B10" s="497" t="str">
        <f t="shared" si="0"/>
        <v>–   Jaune ou ambre – texte ou chiffres que vous avez saisis.</v>
      </c>
      <c r="C10" s="541"/>
      <c r="D10" s="541"/>
      <c r="E10" s="498" t="s">
        <v>330</v>
      </c>
      <c r="F10" s="497" t="s">
        <v>331</v>
      </c>
      <c r="G10" s="541"/>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c r="EA10" s="541"/>
      <c r="EB10" s="541"/>
      <c r="EC10" s="541"/>
      <c r="ED10" s="541"/>
      <c r="EE10" s="541"/>
      <c r="EF10" s="541"/>
      <c r="EG10" s="541"/>
      <c r="EH10" s="541"/>
      <c r="EI10" s="541"/>
      <c r="EJ10" s="541"/>
      <c r="EK10" s="541"/>
      <c r="EL10" s="541"/>
      <c r="EM10" s="541"/>
      <c r="EN10" s="541"/>
      <c r="EO10" s="541"/>
      <c r="EP10" s="541"/>
      <c r="EQ10" s="541"/>
      <c r="ER10" s="541"/>
      <c r="ES10" s="541"/>
      <c r="ET10" s="541"/>
      <c r="EU10" s="541"/>
      <c r="EV10" s="541"/>
      <c r="EW10" s="541"/>
      <c r="EX10" s="541"/>
      <c r="EY10" s="541"/>
      <c r="EZ10" s="541"/>
      <c r="FA10" s="541"/>
      <c r="FB10" s="541"/>
      <c r="FC10" s="541"/>
      <c r="FD10" s="541"/>
      <c r="FE10" s="541"/>
      <c r="FF10" s="541"/>
      <c r="FG10" s="541"/>
      <c r="FH10" s="541"/>
      <c r="FI10" s="541"/>
      <c r="FJ10" s="541"/>
      <c r="FK10" s="541"/>
      <c r="FL10" s="541"/>
      <c r="FM10" s="541"/>
      <c r="FN10" s="541"/>
      <c r="FO10" s="541"/>
      <c r="FP10" s="541"/>
      <c r="FQ10" s="541"/>
      <c r="FR10" s="541"/>
      <c r="FS10" s="541"/>
      <c r="FT10" s="541"/>
      <c r="FU10" s="541"/>
      <c r="FV10" s="541"/>
      <c r="FW10" s="541"/>
      <c r="FX10" s="541"/>
      <c r="FY10" s="541"/>
      <c r="FZ10" s="541"/>
      <c r="GA10" s="541"/>
      <c r="GB10" s="541"/>
      <c r="GC10" s="541"/>
      <c r="GD10" s="541"/>
      <c r="GE10" s="541"/>
      <c r="GF10" s="541"/>
      <c r="GG10" s="541"/>
      <c r="GH10" s="541"/>
      <c r="GI10" s="541"/>
      <c r="GJ10" s="541"/>
      <c r="GK10" s="541"/>
      <c r="GL10" s="541"/>
      <c r="GM10" s="541"/>
      <c r="GN10" s="541"/>
      <c r="GO10" s="541"/>
      <c r="GP10" s="541"/>
      <c r="GQ10" s="541"/>
      <c r="GR10" s="541"/>
      <c r="GS10" s="541"/>
      <c r="GT10" s="541"/>
      <c r="GU10" s="541"/>
      <c r="GV10" s="541"/>
      <c r="GW10" s="541"/>
      <c r="GX10" s="541"/>
      <c r="GY10" s="541"/>
      <c r="GZ10" s="541"/>
      <c r="HA10" s="541"/>
      <c r="HB10" s="541"/>
      <c r="HC10" s="541"/>
      <c r="HD10" s="541"/>
      <c r="HE10" s="541"/>
      <c r="HF10" s="541"/>
      <c r="HG10" s="541"/>
      <c r="HH10" s="541"/>
      <c r="HI10" s="541"/>
      <c r="HJ10" s="541"/>
      <c r="HK10" s="541"/>
      <c r="HL10" s="541"/>
      <c r="HM10" s="541"/>
      <c r="HN10" s="541"/>
      <c r="HO10" s="541"/>
      <c r="HP10" s="541"/>
      <c r="HQ10" s="541"/>
      <c r="HR10" s="541"/>
      <c r="HS10" s="541"/>
      <c r="HT10" s="541"/>
      <c r="HU10" s="541"/>
      <c r="HV10" s="541"/>
      <c r="HW10" s="541"/>
      <c r="HX10" s="541"/>
      <c r="HY10" s="541"/>
      <c r="HZ10" s="541"/>
      <c r="IA10" s="541"/>
      <c r="IB10" s="541"/>
      <c r="IC10" s="541"/>
      <c r="ID10" s="541"/>
      <c r="IE10" s="541"/>
      <c r="IF10" s="541"/>
      <c r="IG10" s="541"/>
      <c r="IH10" s="541"/>
      <c r="II10" s="541"/>
      <c r="IJ10" s="541"/>
      <c r="IK10" s="541"/>
      <c r="IL10" s="541"/>
      <c r="IM10" s="541"/>
      <c r="IN10" s="541"/>
      <c r="IO10" s="541"/>
      <c r="IP10" s="541"/>
      <c r="IQ10" s="541"/>
      <c r="IR10" s="541"/>
      <c r="IS10" s="541"/>
      <c r="IT10" s="541"/>
      <c r="IU10" s="541"/>
      <c r="IV10" s="541"/>
    </row>
    <row r="11" spans="1:256" s="492" customFormat="1">
      <c r="A11" s="541"/>
      <c r="B11" s="497" t="str">
        <f t="shared" si="0"/>
        <v xml:space="preserve">–   Noir ou gris – en-tête ou instructions. </v>
      </c>
      <c r="C11" s="541"/>
      <c r="D11" s="541"/>
      <c r="E11" s="498" t="s">
        <v>332</v>
      </c>
      <c r="F11" s="497" t="s">
        <v>333</v>
      </c>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c r="IT11" s="541"/>
      <c r="IU11" s="541"/>
      <c r="IV11" s="541"/>
    </row>
    <row r="12" spans="1:256" s="492" customFormat="1">
      <c r="A12" s="541"/>
      <c r="B12" s="497" t="str">
        <f t="shared" si="0"/>
        <v xml:space="preserve">–   Blanc – résultat d'une formule utilisée dans la feuille de calcul. </v>
      </c>
      <c r="C12" s="541"/>
      <c r="D12" s="541"/>
      <c r="E12" s="498" t="s">
        <v>334</v>
      </c>
      <c r="F12" s="497" t="s">
        <v>335</v>
      </c>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c r="EC12" s="541"/>
      <c r="ED12" s="541"/>
      <c r="EE12" s="541"/>
      <c r="EF12" s="541"/>
      <c r="EG12" s="541"/>
      <c r="EH12" s="541"/>
      <c r="EI12" s="541"/>
      <c r="EJ12" s="541"/>
      <c r="EK12" s="541"/>
      <c r="EL12" s="541"/>
      <c r="EM12" s="541"/>
      <c r="EN12" s="541"/>
      <c r="EO12" s="541"/>
      <c r="EP12" s="541"/>
      <c r="EQ12" s="541"/>
      <c r="ER12" s="541"/>
      <c r="ES12" s="541"/>
      <c r="ET12" s="541"/>
      <c r="EU12" s="541"/>
      <c r="EV12" s="541"/>
      <c r="EW12" s="541"/>
      <c r="EX12" s="541"/>
      <c r="EY12" s="541"/>
      <c r="EZ12" s="541"/>
      <c r="FA12" s="541"/>
      <c r="FB12" s="541"/>
      <c r="FC12" s="541"/>
      <c r="FD12" s="541"/>
      <c r="FE12" s="541"/>
      <c r="FF12" s="541"/>
      <c r="FG12" s="541"/>
      <c r="FH12" s="541"/>
      <c r="FI12" s="541"/>
      <c r="FJ12" s="541"/>
      <c r="FK12" s="541"/>
      <c r="FL12" s="541"/>
      <c r="FM12" s="541"/>
      <c r="FN12" s="541"/>
      <c r="FO12" s="541"/>
      <c r="FP12" s="541"/>
      <c r="FQ12" s="541"/>
      <c r="FR12" s="541"/>
      <c r="FS12" s="541"/>
      <c r="FT12" s="541"/>
      <c r="FU12" s="541"/>
      <c r="FV12" s="541"/>
      <c r="FW12" s="541"/>
      <c r="FX12" s="541"/>
      <c r="FY12" s="541"/>
      <c r="FZ12" s="541"/>
      <c r="GA12" s="541"/>
      <c r="GB12" s="541"/>
      <c r="GC12" s="541"/>
      <c r="GD12" s="541"/>
      <c r="GE12" s="541"/>
      <c r="GF12" s="541"/>
      <c r="GG12" s="541"/>
      <c r="GH12" s="541"/>
      <c r="GI12" s="541"/>
      <c r="GJ12" s="541"/>
      <c r="GK12" s="541"/>
      <c r="GL12" s="541"/>
      <c r="GM12" s="541"/>
      <c r="GN12" s="541"/>
      <c r="GO12" s="541"/>
      <c r="GP12" s="541"/>
      <c r="GQ12" s="541"/>
      <c r="GR12" s="541"/>
      <c r="GS12" s="541"/>
      <c r="GT12" s="541"/>
      <c r="GU12" s="541"/>
      <c r="GV12" s="541"/>
      <c r="GW12" s="541"/>
      <c r="GX12" s="541"/>
      <c r="GY12" s="541"/>
      <c r="GZ12" s="541"/>
      <c r="HA12" s="541"/>
      <c r="HB12" s="541"/>
      <c r="HC12" s="541"/>
      <c r="HD12" s="541"/>
      <c r="HE12" s="541"/>
      <c r="HF12" s="541"/>
      <c r="HG12" s="541"/>
      <c r="HH12" s="541"/>
      <c r="HI12" s="541"/>
      <c r="HJ12" s="541"/>
      <c r="HK12" s="541"/>
      <c r="HL12" s="541"/>
      <c r="HM12" s="541"/>
      <c r="HN12" s="541"/>
      <c r="HO12" s="541"/>
      <c r="HP12" s="541"/>
      <c r="HQ12" s="541"/>
      <c r="HR12" s="541"/>
      <c r="HS12" s="541"/>
      <c r="HT12" s="541"/>
      <c r="HU12" s="541"/>
      <c r="HV12" s="541"/>
      <c r="HW12" s="541"/>
      <c r="HX12" s="541"/>
      <c r="HY12" s="541"/>
      <c r="HZ12" s="541"/>
      <c r="IA12" s="541"/>
      <c r="IB12" s="541"/>
      <c r="IC12" s="541"/>
      <c r="ID12" s="541"/>
      <c r="IE12" s="541"/>
      <c r="IF12" s="541"/>
      <c r="IG12" s="541"/>
      <c r="IH12" s="541"/>
      <c r="II12" s="541"/>
      <c r="IJ12" s="541"/>
      <c r="IK12" s="541"/>
      <c r="IL12" s="541"/>
      <c r="IM12" s="541"/>
      <c r="IN12" s="541"/>
      <c r="IO12" s="541"/>
      <c r="IP12" s="541"/>
      <c r="IQ12" s="541"/>
      <c r="IR12" s="541"/>
      <c r="IS12" s="541"/>
      <c r="IT12" s="541"/>
      <c r="IU12" s="541"/>
      <c r="IV12" s="541"/>
    </row>
    <row r="13" spans="1:256" s="492" customFormat="1">
      <c r="A13" s="541"/>
      <c r="B13" s="497" t="str">
        <f t="shared" si="0"/>
        <v>–   Rouge ou orangé – problème possible.</v>
      </c>
      <c r="C13" s="541"/>
      <c r="D13" s="541"/>
      <c r="E13" s="498" t="s">
        <v>336</v>
      </c>
      <c r="F13" s="497" t="s">
        <v>337</v>
      </c>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c r="EC13" s="541"/>
      <c r="ED13" s="541"/>
      <c r="EE13" s="541"/>
      <c r="EF13" s="541"/>
      <c r="EG13" s="541"/>
      <c r="EH13" s="541"/>
      <c r="EI13" s="541"/>
      <c r="EJ13" s="541"/>
      <c r="EK13" s="541"/>
      <c r="EL13" s="541"/>
      <c r="EM13" s="541"/>
      <c r="EN13" s="541"/>
      <c r="EO13" s="541"/>
      <c r="EP13" s="541"/>
      <c r="EQ13" s="541"/>
      <c r="ER13" s="541"/>
      <c r="ES13" s="541"/>
      <c r="ET13" s="541"/>
      <c r="EU13" s="541"/>
      <c r="EV13" s="541"/>
      <c r="EW13" s="541"/>
      <c r="EX13" s="541"/>
      <c r="EY13" s="541"/>
      <c r="EZ13" s="541"/>
      <c r="FA13" s="541"/>
      <c r="FB13" s="541"/>
      <c r="FC13" s="541"/>
      <c r="FD13" s="541"/>
      <c r="FE13" s="541"/>
      <c r="FF13" s="541"/>
      <c r="FG13" s="541"/>
      <c r="FH13" s="541"/>
      <c r="FI13" s="541"/>
      <c r="FJ13" s="541"/>
      <c r="FK13" s="541"/>
      <c r="FL13" s="541"/>
      <c r="FM13" s="541"/>
      <c r="FN13" s="541"/>
      <c r="FO13" s="541"/>
      <c r="FP13" s="541"/>
      <c r="FQ13" s="541"/>
      <c r="FR13" s="541"/>
      <c r="FS13" s="541"/>
      <c r="FT13" s="541"/>
      <c r="FU13" s="541"/>
      <c r="FV13" s="541"/>
      <c r="FW13" s="541"/>
      <c r="FX13" s="541"/>
      <c r="FY13" s="541"/>
      <c r="FZ13" s="541"/>
      <c r="GA13" s="541"/>
      <c r="GB13" s="541"/>
      <c r="GC13" s="541"/>
      <c r="GD13" s="541"/>
      <c r="GE13" s="541"/>
      <c r="GF13" s="541"/>
      <c r="GG13" s="541"/>
      <c r="GH13" s="541"/>
      <c r="GI13" s="541"/>
      <c r="GJ13" s="541"/>
      <c r="GK13" s="541"/>
      <c r="GL13" s="541"/>
      <c r="GM13" s="541"/>
      <c r="GN13" s="541"/>
      <c r="GO13" s="541"/>
      <c r="GP13" s="541"/>
      <c r="GQ13" s="541"/>
      <c r="GR13" s="541"/>
      <c r="GS13" s="541"/>
      <c r="GT13" s="541"/>
      <c r="GU13" s="541"/>
      <c r="GV13" s="541"/>
      <c r="GW13" s="541"/>
      <c r="GX13" s="541"/>
      <c r="GY13" s="541"/>
      <c r="GZ13" s="541"/>
      <c r="HA13" s="541"/>
      <c r="HB13" s="541"/>
      <c r="HC13" s="541"/>
      <c r="HD13" s="541"/>
      <c r="HE13" s="541"/>
      <c r="HF13" s="541"/>
      <c r="HG13" s="541"/>
      <c r="HH13" s="541"/>
      <c r="HI13" s="541"/>
      <c r="HJ13" s="541"/>
      <c r="HK13" s="541"/>
      <c r="HL13" s="541"/>
      <c r="HM13" s="541"/>
      <c r="HN13" s="541"/>
      <c r="HO13" s="541"/>
      <c r="HP13" s="541"/>
      <c r="HQ13" s="541"/>
      <c r="HR13" s="541"/>
      <c r="HS13" s="541"/>
      <c r="HT13" s="541"/>
      <c r="HU13" s="541"/>
      <c r="HV13" s="541"/>
      <c r="HW13" s="541"/>
      <c r="HX13" s="541"/>
      <c r="HY13" s="541"/>
      <c r="HZ13" s="541"/>
      <c r="IA13" s="541"/>
      <c r="IB13" s="541"/>
      <c r="IC13" s="541"/>
      <c r="ID13" s="541"/>
      <c r="IE13" s="541"/>
      <c r="IF13" s="541"/>
      <c r="IG13" s="541"/>
      <c r="IH13" s="541"/>
      <c r="II13" s="541"/>
      <c r="IJ13" s="541"/>
      <c r="IK13" s="541"/>
      <c r="IL13" s="541"/>
      <c r="IM13" s="541"/>
      <c r="IN13" s="541"/>
      <c r="IO13" s="541"/>
      <c r="IP13" s="541"/>
      <c r="IQ13" s="541"/>
      <c r="IR13" s="541"/>
      <c r="IS13" s="541"/>
      <c r="IT13" s="541"/>
      <c r="IU13" s="541"/>
      <c r="IV13" s="541"/>
    </row>
    <row r="14" spans="1:256" s="492" customFormat="1" ht="9" customHeight="1">
      <c r="A14" s="541"/>
      <c r="B14" s="499" t="str">
        <f t="shared" si="0"/>
        <v/>
      </c>
      <c r="C14" s="541"/>
      <c r="D14" s="541"/>
      <c r="E14" s="500"/>
      <c r="F14" s="499"/>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c r="EC14" s="541"/>
      <c r="ED14" s="541"/>
      <c r="EE14" s="541"/>
      <c r="EF14" s="541"/>
      <c r="EG14" s="541"/>
      <c r="EH14" s="541"/>
      <c r="EI14" s="541"/>
      <c r="EJ14" s="541"/>
      <c r="EK14" s="541"/>
      <c r="EL14" s="541"/>
      <c r="EM14" s="541"/>
      <c r="EN14" s="541"/>
      <c r="EO14" s="541"/>
      <c r="EP14" s="541"/>
      <c r="EQ14" s="541"/>
      <c r="ER14" s="541"/>
      <c r="ES14" s="541"/>
      <c r="ET14" s="541"/>
      <c r="EU14" s="541"/>
      <c r="EV14" s="541"/>
      <c r="EW14" s="541"/>
      <c r="EX14" s="541"/>
      <c r="EY14" s="541"/>
      <c r="EZ14" s="541"/>
      <c r="FA14" s="541"/>
      <c r="FB14" s="541"/>
      <c r="FC14" s="541"/>
      <c r="FD14" s="541"/>
      <c r="FE14" s="541"/>
      <c r="FF14" s="541"/>
      <c r="FG14" s="541"/>
      <c r="FH14" s="541"/>
      <c r="FI14" s="541"/>
      <c r="FJ14" s="541"/>
      <c r="FK14" s="541"/>
      <c r="FL14" s="541"/>
      <c r="FM14" s="541"/>
      <c r="FN14" s="541"/>
      <c r="FO14" s="541"/>
      <c r="FP14" s="541"/>
      <c r="FQ14" s="541"/>
      <c r="FR14" s="541"/>
      <c r="FS14" s="541"/>
      <c r="FT14" s="541"/>
      <c r="FU14" s="541"/>
      <c r="FV14" s="541"/>
      <c r="FW14" s="541"/>
      <c r="FX14" s="541"/>
      <c r="FY14" s="541"/>
      <c r="FZ14" s="541"/>
      <c r="GA14" s="541"/>
      <c r="GB14" s="541"/>
      <c r="GC14" s="541"/>
      <c r="GD14" s="541"/>
      <c r="GE14" s="541"/>
      <c r="GF14" s="541"/>
      <c r="GG14" s="541"/>
      <c r="GH14" s="541"/>
      <c r="GI14" s="541"/>
      <c r="GJ14" s="541"/>
      <c r="GK14" s="541"/>
      <c r="GL14" s="541"/>
      <c r="GM14" s="541"/>
      <c r="GN14" s="541"/>
      <c r="GO14" s="541"/>
      <c r="GP14" s="541"/>
      <c r="GQ14" s="541"/>
      <c r="GR14" s="541"/>
      <c r="GS14" s="541"/>
      <c r="GT14" s="541"/>
      <c r="GU14" s="541"/>
      <c r="GV14" s="541"/>
      <c r="GW14" s="541"/>
      <c r="GX14" s="541"/>
      <c r="GY14" s="541"/>
      <c r="GZ14" s="541"/>
      <c r="HA14" s="541"/>
      <c r="HB14" s="541"/>
      <c r="HC14" s="541"/>
      <c r="HD14" s="541"/>
      <c r="HE14" s="541"/>
      <c r="HF14" s="541"/>
      <c r="HG14" s="541"/>
      <c r="HH14" s="541"/>
      <c r="HI14" s="541"/>
      <c r="HJ14" s="541"/>
      <c r="HK14" s="541"/>
      <c r="HL14" s="541"/>
      <c r="HM14" s="541"/>
      <c r="HN14" s="541"/>
      <c r="HO14" s="541"/>
      <c r="HP14" s="541"/>
      <c r="HQ14" s="541"/>
      <c r="HR14" s="541"/>
      <c r="HS14" s="541"/>
      <c r="HT14" s="541"/>
      <c r="HU14" s="541"/>
      <c r="HV14" s="541"/>
      <c r="HW14" s="541"/>
      <c r="HX14" s="541"/>
      <c r="HY14" s="541"/>
      <c r="HZ14" s="541"/>
      <c r="IA14" s="541"/>
      <c r="IB14" s="541"/>
      <c r="IC14" s="541"/>
      <c r="ID14" s="541"/>
      <c r="IE14" s="541"/>
      <c r="IF14" s="541"/>
      <c r="IG14" s="541"/>
      <c r="IH14" s="541"/>
      <c r="II14" s="541"/>
      <c r="IJ14" s="541"/>
      <c r="IK14" s="541"/>
      <c r="IL14" s="541"/>
      <c r="IM14" s="541"/>
      <c r="IN14" s="541"/>
      <c r="IO14" s="541"/>
      <c r="IP14" s="541"/>
      <c r="IQ14" s="541"/>
      <c r="IR14" s="541"/>
      <c r="IS14" s="541"/>
      <c r="IT14" s="541"/>
      <c r="IU14" s="541"/>
      <c r="IV14" s="541"/>
    </row>
    <row r="15" spans="1:256" s="492" customFormat="1" ht="13.8">
      <c r="A15" s="541"/>
      <c r="B15" s="493" t="str">
        <f t="shared" si="0"/>
        <v xml:space="preserve">Deux sections </v>
      </c>
      <c r="C15" s="541"/>
      <c r="D15" s="541"/>
      <c r="E15" s="494" t="s">
        <v>338</v>
      </c>
      <c r="F15" s="493" t="s">
        <v>339</v>
      </c>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c r="EA15" s="541"/>
      <c r="EB15" s="541"/>
      <c r="EC15" s="541"/>
      <c r="ED15" s="541"/>
      <c r="EE15" s="541"/>
      <c r="EF15" s="541"/>
      <c r="EG15" s="541"/>
      <c r="EH15" s="541"/>
      <c r="EI15" s="541"/>
      <c r="EJ15" s="541"/>
      <c r="EK15" s="541"/>
      <c r="EL15" s="541"/>
      <c r="EM15" s="541"/>
      <c r="EN15" s="541"/>
      <c r="EO15" s="541"/>
      <c r="EP15" s="541"/>
      <c r="EQ15" s="541"/>
      <c r="ER15" s="541"/>
      <c r="ES15" s="541"/>
      <c r="ET15" s="541"/>
      <c r="EU15" s="541"/>
      <c r="EV15" s="541"/>
      <c r="EW15" s="541"/>
      <c r="EX15" s="541"/>
      <c r="EY15" s="541"/>
      <c r="EZ15" s="541"/>
      <c r="FA15" s="541"/>
      <c r="FB15" s="541"/>
      <c r="FC15" s="541"/>
      <c r="FD15" s="541"/>
      <c r="FE15" s="541"/>
      <c r="FF15" s="541"/>
      <c r="FG15" s="541"/>
      <c r="FH15" s="541"/>
      <c r="FI15" s="541"/>
      <c r="FJ15" s="541"/>
      <c r="FK15" s="541"/>
      <c r="FL15" s="541"/>
      <c r="FM15" s="541"/>
      <c r="FN15" s="541"/>
      <c r="FO15" s="541"/>
      <c r="FP15" s="541"/>
      <c r="FQ15" s="541"/>
      <c r="FR15" s="541"/>
      <c r="FS15" s="541"/>
      <c r="FT15" s="541"/>
      <c r="FU15" s="541"/>
      <c r="FV15" s="541"/>
      <c r="FW15" s="541"/>
      <c r="FX15" s="541"/>
      <c r="FY15" s="541"/>
      <c r="FZ15" s="541"/>
      <c r="GA15" s="541"/>
      <c r="GB15" s="541"/>
      <c r="GC15" s="541"/>
      <c r="GD15" s="541"/>
      <c r="GE15" s="541"/>
      <c r="GF15" s="541"/>
      <c r="GG15" s="541"/>
      <c r="GH15" s="541"/>
      <c r="GI15" s="541"/>
      <c r="GJ15" s="541"/>
      <c r="GK15" s="541"/>
      <c r="GL15" s="541"/>
      <c r="GM15" s="541"/>
      <c r="GN15" s="541"/>
      <c r="GO15" s="541"/>
      <c r="GP15" s="541"/>
      <c r="GQ15" s="541"/>
      <c r="GR15" s="541"/>
      <c r="GS15" s="541"/>
      <c r="GT15" s="541"/>
      <c r="GU15" s="541"/>
      <c r="GV15" s="541"/>
      <c r="GW15" s="541"/>
      <c r="GX15" s="541"/>
      <c r="GY15" s="541"/>
      <c r="GZ15" s="541"/>
      <c r="HA15" s="541"/>
      <c r="HB15" s="541"/>
      <c r="HC15" s="541"/>
      <c r="HD15" s="541"/>
      <c r="HE15" s="541"/>
      <c r="HF15" s="541"/>
      <c r="HG15" s="541"/>
      <c r="HH15" s="541"/>
      <c r="HI15" s="541"/>
      <c r="HJ15" s="541"/>
      <c r="HK15" s="541"/>
      <c r="HL15" s="541"/>
      <c r="HM15" s="541"/>
      <c r="HN15" s="541"/>
      <c r="HO15" s="541"/>
      <c r="HP15" s="541"/>
      <c r="HQ15" s="541"/>
      <c r="HR15" s="541"/>
      <c r="HS15" s="541"/>
      <c r="HT15" s="541"/>
      <c r="HU15" s="541"/>
      <c r="HV15" s="541"/>
      <c r="HW15" s="541"/>
      <c r="HX15" s="541"/>
      <c r="HY15" s="541"/>
      <c r="HZ15" s="541"/>
      <c r="IA15" s="541"/>
      <c r="IB15" s="541"/>
      <c r="IC15" s="541"/>
      <c r="ID15" s="541"/>
      <c r="IE15" s="541"/>
      <c r="IF15" s="541"/>
      <c r="IG15" s="541"/>
      <c r="IH15" s="541"/>
      <c r="II15" s="541"/>
      <c r="IJ15" s="541"/>
      <c r="IK15" s="541"/>
      <c r="IL15" s="541"/>
      <c r="IM15" s="541"/>
      <c r="IN15" s="541"/>
      <c r="IO15" s="541"/>
      <c r="IP15" s="541"/>
      <c r="IQ15" s="541"/>
      <c r="IR15" s="541"/>
      <c r="IS15" s="541"/>
      <c r="IT15" s="541"/>
      <c r="IU15" s="541"/>
      <c r="IV15" s="541"/>
    </row>
    <row r="16" spans="1:256" s="492" customFormat="1" ht="3" customHeight="1">
      <c r="A16" s="541"/>
      <c r="B16" s="495" t="str">
        <f t="shared" si="0"/>
        <v/>
      </c>
      <c r="C16" s="541"/>
      <c r="D16" s="541"/>
      <c r="E16" s="496"/>
      <c r="F16" s="495"/>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c r="EA16" s="541"/>
      <c r="EB16" s="541"/>
      <c r="EC16" s="541"/>
      <c r="ED16" s="541"/>
      <c r="EE16" s="541"/>
      <c r="EF16" s="541"/>
      <c r="EG16" s="541"/>
      <c r="EH16" s="541"/>
      <c r="EI16" s="541"/>
      <c r="EJ16" s="541"/>
      <c r="EK16" s="541"/>
      <c r="EL16" s="541"/>
      <c r="EM16" s="541"/>
      <c r="EN16" s="541"/>
      <c r="EO16" s="541"/>
      <c r="EP16" s="541"/>
      <c r="EQ16" s="541"/>
      <c r="ER16" s="541"/>
      <c r="ES16" s="541"/>
      <c r="ET16" s="541"/>
      <c r="EU16" s="541"/>
      <c r="EV16" s="541"/>
      <c r="EW16" s="541"/>
      <c r="EX16" s="541"/>
      <c r="EY16" s="541"/>
      <c r="EZ16" s="541"/>
      <c r="FA16" s="541"/>
      <c r="FB16" s="541"/>
      <c r="FC16" s="541"/>
      <c r="FD16" s="541"/>
      <c r="FE16" s="541"/>
      <c r="FF16" s="541"/>
      <c r="FG16" s="541"/>
      <c r="FH16" s="541"/>
      <c r="FI16" s="541"/>
      <c r="FJ16" s="541"/>
      <c r="FK16" s="541"/>
      <c r="FL16" s="541"/>
      <c r="FM16" s="541"/>
      <c r="FN16" s="541"/>
      <c r="FO16" s="541"/>
      <c r="FP16" s="541"/>
      <c r="FQ16" s="541"/>
      <c r="FR16" s="541"/>
      <c r="FS16" s="541"/>
      <c r="FT16" s="541"/>
      <c r="FU16" s="541"/>
      <c r="FV16" s="541"/>
      <c r="FW16" s="541"/>
      <c r="FX16" s="541"/>
      <c r="FY16" s="541"/>
      <c r="FZ16" s="541"/>
      <c r="GA16" s="541"/>
      <c r="GB16" s="541"/>
      <c r="GC16" s="541"/>
      <c r="GD16" s="541"/>
      <c r="GE16" s="541"/>
      <c r="GF16" s="541"/>
      <c r="GG16" s="541"/>
      <c r="GH16" s="541"/>
      <c r="GI16" s="541"/>
      <c r="GJ16" s="541"/>
      <c r="GK16" s="541"/>
      <c r="GL16" s="541"/>
      <c r="GM16" s="541"/>
      <c r="GN16" s="541"/>
      <c r="GO16" s="541"/>
      <c r="GP16" s="541"/>
      <c r="GQ16" s="541"/>
      <c r="GR16" s="541"/>
      <c r="GS16" s="541"/>
      <c r="GT16" s="541"/>
      <c r="GU16" s="541"/>
      <c r="GV16" s="541"/>
      <c r="GW16" s="541"/>
      <c r="GX16" s="541"/>
      <c r="GY16" s="541"/>
      <c r="GZ16" s="541"/>
      <c r="HA16" s="541"/>
      <c r="HB16" s="541"/>
      <c r="HC16" s="541"/>
      <c r="HD16" s="541"/>
      <c r="HE16" s="541"/>
      <c r="HF16" s="541"/>
      <c r="HG16" s="541"/>
      <c r="HH16" s="541"/>
      <c r="HI16" s="541"/>
      <c r="HJ16" s="541"/>
      <c r="HK16" s="541"/>
      <c r="HL16" s="541"/>
      <c r="HM16" s="541"/>
      <c r="HN16" s="541"/>
      <c r="HO16" s="541"/>
      <c r="HP16" s="541"/>
      <c r="HQ16" s="541"/>
      <c r="HR16" s="541"/>
      <c r="HS16" s="541"/>
      <c r="HT16" s="541"/>
      <c r="HU16" s="541"/>
      <c r="HV16" s="541"/>
      <c r="HW16" s="541"/>
      <c r="HX16" s="541"/>
      <c r="HY16" s="541"/>
      <c r="HZ16" s="541"/>
      <c r="IA16" s="541"/>
      <c r="IB16" s="541"/>
      <c r="IC16" s="541"/>
      <c r="ID16" s="541"/>
      <c r="IE16" s="541"/>
      <c r="IF16" s="541"/>
      <c r="IG16" s="541"/>
      <c r="IH16" s="541"/>
      <c r="II16" s="541"/>
      <c r="IJ16" s="541"/>
      <c r="IK16" s="541"/>
      <c r="IL16" s="541"/>
      <c r="IM16" s="541"/>
      <c r="IN16" s="541"/>
      <c r="IO16" s="541"/>
      <c r="IP16" s="541"/>
      <c r="IQ16" s="541"/>
      <c r="IR16" s="541"/>
      <c r="IS16" s="541"/>
      <c r="IT16" s="541"/>
      <c r="IU16" s="541"/>
      <c r="IV16" s="541"/>
    </row>
    <row r="17" spans="1:6" s="492" customFormat="1">
      <c r="A17" s="541"/>
      <c r="B17" s="499" t="str">
        <f t="shared" si="0"/>
        <v>1.  Sommaire annuel</v>
      </c>
      <c r="C17" s="541"/>
      <c r="D17" s="541"/>
      <c r="E17" s="500" t="s">
        <v>340</v>
      </c>
      <c r="F17" s="499" t="s">
        <v>341</v>
      </c>
    </row>
    <row r="18" spans="1:6" s="492" customFormat="1">
      <c r="A18" s="541"/>
      <c r="B18" s="499" t="str">
        <f t="shared" si="0"/>
        <v/>
      </c>
      <c r="C18" s="541"/>
      <c r="D18" s="541"/>
      <c r="E18" s="500"/>
      <c r="F18" s="541"/>
    </row>
    <row r="19" spans="1:6" s="492" customFormat="1">
      <c r="A19" s="541"/>
      <c r="B19" s="499" t="str">
        <f t="shared" si="0"/>
        <v/>
      </c>
      <c r="C19" s="541"/>
      <c r="D19" s="541"/>
      <c r="E19" s="500"/>
      <c r="F19" s="495" t="s">
        <v>342</v>
      </c>
    </row>
    <row r="20" spans="1:6" s="492" customFormat="1" ht="22.8">
      <c r="A20" s="541"/>
      <c r="B20" s="495" t="str">
        <f t="shared" si="0"/>
        <v>Utilisez le Sommaire annuel pour saisir l'année, des observations précises
et (vers la gauche) tous les mois au cours desquels aucun véhicule n'était disponible.</v>
      </c>
      <c r="C20" s="541"/>
      <c r="D20" s="541"/>
      <c r="E20" s="496" t="s">
        <v>343</v>
      </c>
      <c r="F20" s="495" t="s">
        <v>344</v>
      </c>
    </row>
    <row r="21" spans="1:6" s="492" customFormat="1">
      <c r="A21" s="541"/>
      <c r="B21" s="495">
        <f t="shared" si="0"/>
        <v>0</v>
      </c>
      <c r="C21" s="541"/>
      <c r="D21" s="541"/>
      <c r="E21" s="496" t="s">
        <v>342</v>
      </c>
      <c r="F21" s="495"/>
    </row>
    <row r="22" spans="1:6" s="492" customFormat="1" ht="3.9" customHeight="1">
      <c r="A22" s="541"/>
      <c r="B22" s="495" t="str">
        <f t="shared" si="0"/>
        <v/>
      </c>
      <c r="C22" s="541"/>
      <c r="D22" s="541"/>
      <c r="E22" s="496"/>
      <c r="F22" s="497"/>
    </row>
    <row r="23" spans="1:6" s="492" customFormat="1">
      <c r="A23" s="541"/>
      <c r="B23" s="495" t="str">
        <f t="shared" si="0"/>
        <v>Contenu du Sommaire annuel :</v>
      </c>
      <c r="C23" s="541"/>
      <c r="D23" s="541"/>
      <c r="E23" s="496" t="s">
        <v>345</v>
      </c>
      <c r="F23" s="495" t="s">
        <v>346</v>
      </c>
    </row>
    <row r="24" spans="1:6" s="492" customFormat="1">
      <c r="A24" s="541"/>
      <c r="B24" s="497" t="str">
        <f t="shared" si="0"/>
        <v xml:space="preserve">–   Partie supérieure – chiffres dont vous aurez besoin aux fins de l'impôt. </v>
      </c>
      <c r="C24" s="541"/>
      <c r="D24" s="541"/>
      <c r="E24" s="498" t="s">
        <v>347</v>
      </c>
      <c r="F24" s="497" t="s">
        <v>348</v>
      </c>
    </row>
    <row r="25" spans="1:6" s="492" customFormat="1" ht="22.8">
      <c r="A25" s="541"/>
      <c r="B25" s="497" t="str">
        <f t="shared" si="0"/>
        <v>–   Partie inférieure – diagnostics de détection des erreurs (comme les coquilles); 
      il peut arriver qu'aucune correction ne soit nécessaire.</v>
      </c>
      <c r="C25" s="541"/>
      <c r="D25" s="541"/>
      <c r="E25" s="498" t="s">
        <v>349</v>
      </c>
      <c r="F25" s="497" t="s">
        <v>350</v>
      </c>
    </row>
    <row r="26" spans="1:6" s="492" customFormat="1" ht="9" customHeight="1">
      <c r="A26" s="541"/>
      <c r="B26" s="497" t="str">
        <f t="shared" si="0"/>
        <v/>
      </c>
      <c r="C26" s="541"/>
      <c r="D26" s="541"/>
      <c r="E26" s="498"/>
      <c r="F26" s="495"/>
    </row>
    <row r="27" spans="1:6" s="492" customFormat="1">
      <c r="A27" s="541"/>
      <c r="B27" s="499" t="str">
        <f t="shared" si="0"/>
        <v>2.  Journaux mensuels</v>
      </c>
      <c r="C27" s="541"/>
      <c r="D27" s="541"/>
      <c r="E27" s="500" t="s">
        <v>351</v>
      </c>
      <c r="F27" s="499" t="s">
        <v>352</v>
      </c>
    </row>
    <row r="28" spans="1:6" s="492" customFormat="1">
      <c r="A28" s="541"/>
      <c r="B28" s="499" t="str">
        <f t="shared" si="0"/>
        <v/>
      </c>
      <c r="C28" s="541"/>
      <c r="D28" s="541"/>
      <c r="E28" s="500"/>
      <c r="F28" s="497"/>
    </row>
    <row r="29" spans="1:6" s="492" customFormat="1">
      <c r="A29" s="541"/>
      <c r="B29" s="499" t="str">
        <f t="shared" si="0"/>
        <v/>
      </c>
      <c r="C29" s="541"/>
      <c r="D29" s="541"/>
      <c r="E29" s="500"/>
      <c r="F29" s="495"/>
    </row>
    <row r="30" spans="1:6" s="492" customFormat="1">
      <c r="A30" s="541"/>
      <c r="B30" s="495" t="str">
        <f t="shared" si="0"/>
        <v>Utilisez les journaux mensuels pour consigner les dates, les distances et les dépenses :</v>
      </c>
      <c r="C30" s="541"/>
      <c r="D30" s="541"/>
      <c r="E30" s="496" t="s">
        <v>353</v>
      </c>
      <c r="F30" s="495" t="s">
        <v>354</v>
      </c>
    </row>
    <row r="31" spans="1:6" s="492" customFormat="1">
      <c r="A31" s="541"/>
      <c r="B31" s="497" t="str">
        <f t="shared" si="0"/>
        <v>–   Partie supérieure – à remplir au début ou à la fin du mois, selon le cas.</v>
      </c>
      <c r="C31" s="541"/>
      <c r="D31" s="541"/>
      <c r="E31" s="498" t="s">
        <v>355</v>
      </c>
      <c r="F31" s="501" t="s">
        <v>356</v>
      </c>
    </row>
    <row r="32" spans="1:6" s="492" customFormat="1" ht="22.8">
      <c r="A32" s="541"/>
      <c r="B32" s="497" t="str">
        <f t="shared" si="0"/>
        <v>–   Partie inférieure – à remplir chaque jour. (Si vous n'avez pas utilisé le véhicule pour affaires,
      n'entrez que la date.) À la droite de la colonne « C. Destination » n'entrez que des chiffres, et non pas du texte.</v>
      </c>
      <c r="C32" s="541"/>
      <c r="D32" s="541"/>
      <c r="E32" s="498" t="s">
        <v>357</v>
      </c>
      <c r="F32" s="501" t="s">
        <v>358</v>
      </c>
    </row>
    <row r="33" spans="1:6" s="492" customFormat="1" ht="9" customHeight="1">
      <c r="A33" s="541"/>
      <c r="B33" s="495" t="str">
        <f t="shared" si="0"/>
        <v/>
      </c>
      <c r="C33" s="541"/>
      <c r="D33" s="541"/>
      <c r="E33" s="496"/>
      <c r="F33" s="497"/>
    </row>
    <row r="34" spans="1:6" s="492" customFormat="1" hidden="1">
      <c r="A34" s="541"/>
      <c r="B34" s="499" t="str">
        <f t="shared" si="0"/>
        <v>3.  Paiements ($) à l'employeur</v>
      </c>
      <c r="C34" s="541"/>
      <c r="D34" s="541"/>
      <c r="E34" s="500" t="s">
        <v>359</v>
      </c>
      <c r="F34" s="499" t="s">
        <v>360</v>
      </c>
    </row>
    <row r="35" spans="1:6" s="492" customFormat="1" hidden="1">
      <c r="A35" s="541"/>
      <c r="B35" s="499" t="str">
        <f t="shared" si="0"/>
        <v/>
      </c>
      <c r="C35" s="541"/>
      <c r="D35" s="541"/>
      <c r="E35" s="500"/>
      <c r="F35" s="495"/>
    </row>
    <row r="36" spans="1:6" s="492" customFormat="1" hidden="1">
      <c r="A36" s="541"/>
      <c r="B36" s="499" t="str">
        <f t="shared" si="0"/>
        <v/>
      </c>
      <c r="C36" s="541"/>
      <c r="D36" s="541"/>
      <c r="E36" s="500"/>
      <c r="F36" s="570"/>
    </row>
    <row r="37" spans="1:6" s="492" customFormat="1" ht="22.8" hidden="1">
      <c r="A37" s="541"/>
      <c r="B37" s="495" t="str">
        <f t="shared" si="0"/>
        <v xml:space="preserve">Entrez tout paiement que vous avez fait à votre employeur relativement au véhicule, dans l'exercice en cours ou dans un délai de 45 jours suivant la fin de l'exercice. </v>
      </c>
      <c r="C37" s="541"/>
      <c r="D37" s="541"/>
      <c r="E37" s="496" t="s">
        <v>361</v>
      </c>
      <c r="F37" s="495" t="s">
        <v>362</v>
      </c>
    </row>
    <row r="38" spans="1:6" s="492" customFormat="1" ht="9" customHeight="1">
      <c r="A38" s="541"/>
      <c r="B38" s="495" t="str">
        <f t="shared" si="0"/>
        <v/>
      </c>
      <c r="C38" s="541"/>
      <c r="D38" s="541"/>
      <c r="E38" s="496"/>
      <c r="F38" s="570"/>
    </row>
    <row r="39" spans="1:6" s="492" customFormat="1" ht="13.8">
      <c r="A39" s="541"/>
      <c r="B39" s="493" t="str">
        <f t="shared" si="0"/>
        <v>Vos commentaires</v>
      </c>
      <c r="C39" s="541"/>
      <c r="D39" s="541"/>
      <c r="E39" s="494" t="s">
        <v>363</v>
      </c>
      <c r="F39" s="493" t="s">
        <v>364</v>
      </c>
    </row>
    <row r="40" spans="1:6" s="492" customFormat="1">
      <c r="A40" s="541"/>
      <c r="B40" s="495" t="str">
        <f t="shared" si="0"/>
        <v>N'hésitez pas à nous faire part de vos commentaires à l'adresse suivante :</v>
      </c>
      <c r="C40" s="541"/>
      <c r="D40" s="541"/>
      <c r="E40" s="571" t="s">
        <v>365</v>
      </c>
      <c r="F40" s="541" t="s">
        <v>366</v>
      </c>
    </row>
    <row r="41" spans="1:6" s="492" customFormat="1">
      <c r="A41" s="541"/>
      <c r="B41" s="484" t="str">
        <f t="shared" si="0"/>
        <v>tax.services@ca.info.pwc.com</v>
      </c>
      <c r="C41" s="541"/>
      <c r="D41" s="541"/>
      <c r="E41" s="545" t="s">
        <v>367</v>
      </c>
      <c r="F41" s="484" t="s">
        <v>367</v>
      </c>
    </row>
    <row r="42" spans="1:6">
      <c r="A42" s="539"/>
      <c r="B42" s="542"/>
      <c r="C42" s="539"/>
      <c r="D42" s="539"/>
      <c r="E42" s="572"/>
      <c r="F42" s="565"/>
    </row>
    <row r="43" spans="1:6">
      <c r="A43" s="539"/>
      <c r="B43" s="542"/>
      <c r="C43" s="539"/>
      <c r="D43" s="539"/>
      <c r="E43" s="572"/>
      <c r="F43" s="565"/>
    </row>
    <row r="44" spans="1:6">
      <c r="A44" s="539"/>
      <c r="B44" s="525"/>
      <c r="C44" s="539"/>
      <c r="D44" s="539"/>
      <c r="E44" s="573"/>
      <c r="F44" s="573"/>
    </row>
    <row r="45" spans="1:6" ht="75.75" customHeight="1">
      <c r="A45" s="539"/>
      <c r="B45" s="525"/>
      <c r="C45" s="539"/>
      <c r="D45" s="539"/>
      <c r="E45" s="574" t="s">
        <v>368</v>
      </c>
      <c r="F45" s="574" t="s">
        <v>369</v>
      </c>
    </row>
    <row r="46" spans="1:6">
      <c r="A46" s="539"/>
      <c r="B46" s="542"/>
      <c r="C46" s="539"/>
      <c r="D46" s="539"/>
      <c r="E46" s="573"/>
      <c r="F46" s="573"/>
    </row>
    <row r="47" spans="1:6">
      <c r="A47" s="539"/>
      <c r="B47" s="542"/>
      <c r="C47" s="539"/>
      <c r="D47" s="539"/>
      <c r="E47" s="573"/>
      <c r="F47" s="573"/>
    </row>
    <row r="48" spans="1:6">
      <c r="A48" s="539"/>
      <c r="B48" s="542"/>
      <c r="C48" s="539"/>
      <c r="D48" s="539"/>
      <c r="E48" s="573"/>
      <c r="F48" s="573"/>
    </row>
    <row r="50" spans="5:5">
      <c r="E50" s="542"/>
    </row>
  </sheetData>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25" activePane="bottomLeft" state="frozenSplit"/>
      <selection activeCell="C5" sqref="C5"/>
      <selection pane="bottomLeft" activeCell="I38" sqref="I38:R40"/>
    </sheetView>
  </sheetViews>
  <sheetFormatPr defaultColWidth="0" defaultRowHeight="0" customHeight="1" zeroHeight="1"/>
  <cols>
    <col min="1" max="1" width="0.88671875" customWidth="1"/>
    <col min="2" max="2" width="3.44140625" customWidth="1"/>
    <col min="3" max="3" width="4.88671875" customWidth="1"/>
    <col min="4" max="4" width="13.33203125" hidden="1" customWidth="1"/>
    <col min="5" max="5" width="10.5546875" customWidth="1"/>
    <col min="6" max="6" width="7.88671875" hidden="1" customWidth="1"/>
    <col min="7" max="7" width="10.88671875" customWidth="1"/>
    <col min="8" max="8" width="9.6640625" customWidth="1"/>
    <col min="9" max="9" width="13.33203125" customWidth="1"/>
    <col min="10" max="10" width="14.33203125" customWidth="1"/>
    <col min="11" max="11" width="11.33203125" customWidth="1"/>
    <col min="12" max="12" width="11.6640625" customWidth="1"/>
    <col min="13" max="13" width="10.44140625" customWidth="1"/>
    <col min="14" max="14" width="9.6640625" customWidth="1"/>
    <col min="15" max="15" width="12.5546875" customWidth="1"/>
    <col min="16" max="16" width="11" customWidth="1"/>
    <col min="17" max="17" width="21.109375" customWidth="1"/>
    <col min="18" max="18" width="23" customWidth="1"/>
    <col min="19" max="19" width="2.44140625" customWidth="1"/>
    <col min="20" max="20" width="1" hidden="1" customWidth="1"/>
    <col min="21" max="21" width="3.44140625" style="120" hidden="1" customWidth="1"/>
    <col min="22" max="22" width="14.5546875" style="120" hidden="1" customWidth="1"/>
    <col min="23" max="23" width="16.109375" style="120" hidden="1" customWidth="1"/>
    <col min="24" max="24" width="4.109375" style="120" hidden="1" customWidth="1"/>
    <col min="25" max="25" width="26.6640625" style="120" hidden="1" customWidth="1"/>
    <col min="26" max="26" width="25.88671875" style="120" hidden="1" customWidth="1"/>
    <col min="27" max="27" width="27.88671875" style="120" hidden="1" customWidth="1"/>
    <col min="28" max="28" width="24.109375" style="120" hidden="1" customWidth="1"/>
    <col min="29" max="29" width="0" style="121" hidden="1" customWidth="1"/>
    <col min="30" max="30" width="0" style="120" hidden="1" customWidth="1"/>
    <col min="31" max="31" width="11.44140625" style="121" hidden="1" customWidth="1"/>
    <col min="32" max="32" width="18.33203125" style="120" hidden="1" customWidth="1"/>
    <col min="33" max="33" width="10.6640625" style="120" hidden="1" customWidth="1"/>
    <col min="34" max="34" width="16" style="120" hidden="1" customWidth="1"/>
    <col min="35" max="35" width="13.109375" style="120" hidden="1" customWidth="1"/>
    <col min="36" max="36" width="30.5546875" style="120" hidden="1" customWidth="1"/>
    <col min="37" max="37" width="24.33203125" style="120" hidden="1" customWidth="1"/>
    <col min="38" max="38" width="11.6640625" style="121" hidden="1" customWidth="1"/>
    <col min="39" max="39" width="18.109375" style="121" hidden="1" customWidth="1"/>
    <col min="40" max="40" width="11" style="121" hidden="1" customWidth="1"/>
    <col min="41" max="41" width="13.6640625" style="121" hidden="1" customWidth="1"/>
    <col min="42" max="42" width="3" style="121" hidden="1" customWidth="1"/>
    <col min="43" max="43" width="6.6640625" style="121" hidden="1" customWidth="1"/>
    <col min="44" max="44" width="11.88671875" style="121" hidden="1" customWidth="1"/>
    <col min="45" max="45" width="11.33203125" style="121" hidden="1" customWidth="1"/>
    <col min="46" max="46" width="11" style="121" hidden="1" customWidth="1"/>
    <col min="47" max="47" width="3" style="121" hidden="1" customWidth="1"/>
    <col min="48" max="48" width="6.88671875" style="121" hidden="1" customWidth="1"/>
    <col min="49" max="49" width="7.44140625" style="121" hidden="1" customWidth="1"/>
    <col min="50" max="59" width="9.44140625" style="121" hidden="1" customWidth="1"/>
    <col min="60" max="60" width="10.88671875" style="121" hidden="1" customWidth="1"/>
    <col min="61" max="61" width="7.88671875" style="121" hidden="1" customWidth="1"/>
    <col min="62" max="62" width="7" style="121" hidden="1" customWidth="1"/>
    <col min="63" max="64" width="3" style="121" hidden="1" customWidth="1"/>
    <col min="65" max="65" width="9.44140625" style="121" hidden="1" customWidth="1"/>
    <col min="66" max="68" width="3" style="121" hidden="1" customWidth="1"/>
    <col min="69" max="69" width="0" style="120" hidden="1" customWidth="1"/>
    <col min="70" max="70" width="1.33203125" hidden="1" customWidth="1"/>
    <col min="71" max="73" width="2.5546875" hidden="1" customWidth="1"/>
    <col min="74" max="255" width="0" hidden="1" customWidth="1"/>
    <col min="256" max="16384" width="2.5546875" hidden="1"/>
  </cols>
  <sheetData>
    <row r="1" spans="1:253" ht="4.5" customHeight="1">
      <c r="A1" s="19"/>
      <c r="B1" s="19"/>
      <c r="C1" s="19"/>
      <c r="D1" s="19"/>
      <c r="E1" s="19"/>
      <c r="F1" s="19"/>
      <c r="G1" s="19"/>
      <c r="H1" s="19"/>
      <c r="I1" s="19"/>
      <c r="J1" s="19"/>
      <c r="K1" s="19"/>
      <c r="L1" s="19"/>
      <c r="M1" s="19"/>
      <c r="N1" s="19"/>
      <c r="O1" s="19"/>
      <c r="P1" s="19"/>
      <c r="Q1" s="19"/>
      <c r="R1" s="20"/>
      <c r="U1" s="692"/>
      <c r="V1" s="693"/>
      <c r="W1" s="693"/>
      <c r="X1" s="693"/>
      <c r="Y1" s="693"/>
      <c r="Z1" s="693"/>
      <c r="AA1" s="693"/>
      <c r="AB1" s="693"/>
      <c r="AC1" s="693"/>
      <c r="AD1" s="693"/>
      <c r="BR1" s="1"/>
    </row>
    <row r="2" spans="1:253" s="2" customFormat="1" ht="28.5" customHeight="1">
      <c r="B2" s="707" t="str">
        <f>IF(AND(ISNUMBER(AF7),AF7&gt;2000,AF7&lt;2999),Year_four_digits&amp;" ","")&amp;'NTS ONLY_set_year'!$E$35&amp;IF($V$7=$V$4,IF('NTS ONLY_set_year'!B1="y",""," ("&amp;'NTS ONLY_set_year'!$E$113&amp;")"),"")</f>
        <v>2026 Journal de bord avantages et dépenses d'automobile - Sommaire annuel</v>
      </c>
      <c r="C2" s="708"/>
      <c r="D2" s="708"/>
      <c r="E2" s="708"/>
      <c r="F2" s="708"/>
      <c r="G2" s="708"/>
      <c r="H2" s="708"/>
      <c r="I2" s="708"/>
      <c r="J2" s="708"/>
      <c r="K2" s="708"/>
      <c r="L2" s="708"/>
      <c r="M2" s="708"/>
      <c r="N2" s="708"/>
      <c r="O2" s="708"/>
      <c r="P2" s="708"/>
      <c r="Q2" s="705"/>
      <c r="R2" s="706"/>
      <c r="S2" s="95"/>
      <c r="U2" s="694" t="s">
        <v>370</v>
      </c>
      <c r="V2" s="695"/>
      <c r="W2" s="695"/>
      <c r="X2" s="695"/>
      <c r="Y2" s="695"/>
      <c r="Z2" s="695"/>
      <c r="AA2" s="695"/>
      <c r="AB2" s="695"/>
      <c r="AC2" s="695"/>
      <c r="AD2" s="695"/>
      <c r="AE2" s="695"/>
      <c r="AF2" s="695"/>
      <c r="AG2" s="695"/>
      <c r="AH2" s="695"/>
      <c r="AI2" s="123"/>
      <c r="AJ2" s="123"/>
      <c r="AK2" s="123"/>
      <c r="AL2" s="124"/>
      <c r="AM2" s="124"/>
      <c r="AN2" s="124"/>
      <c r="AO2" s="124"/>
      <c r="AP2" s="124"/>
      <c r="AQ2" s="124"/>
      <c r="AR2" s="124"/>
      <c r="AS2" s="124"/>
      <c r="AT2" s="124"/>
      <c r="AU2" s="124"/>
      <c r="AV2" s="125" t="str">
        <f ca="1">INDEX($Y$24:$Y$35,AV35)&amp;"!"</f>
        <v>01!</v>
      </c>
      <c r="AW2" s="125" t="str">
        <f t="shared" ref="AW2:BG2" ca="1" si="0">INDEX($Y$24:$Y$35,AW35)&amp;"!"</f>
        <v>02!</v>
      </c>
      <c r="AX2" s="125" t="str">
        <f t="shared" ca="1" si="0"/>
        <v>03!</v>
      </c>
      <c r="AY2" s="125" t="str">
        <f t="shared" ca="1" si="0"/>
        <v>04!</v>
      </c>
      <c r="AZ2" s="125" t="str">
        <f t="shared" ca="1" si="0"/>
        <v>05!</v>
      </c>
      <c r="BA2" s="125" t="str">
        <f t="shared" ca="1" si="0"/>
        <v>06!</v>
      </c>
      <c r="BB2" s="125" t="str">
        <f t="shared" ca="1" si="0"/>
        <v>07!</v>
      </c>
      <c r="BC2" s="125" t="str">
        <f t="shared" ca="1" si="0"/>
        <v>08!</v>
      </c>
      <c r="BD2" s="125" t="str">
        <f t="shared" ca="1" si="0"/>
        <v>09!</v>
      </c>
      <c r="BE2" s="125" t="str">
        <f t="shared" ca="1" si="0"/>
        <v>10!</v>
      </c>
      <c r="BF2" s="125" t="str">
        <f t="shared" ca="1" si="0"/>
        <v>11!</v>
      </c>
      <c r="BG2" s="125" t="str">
        <f t="shared" ca="1" si="0"/>
        <v>12!</v>
      </c>
      <c r="BH2" s="124"/>
      <c r="BI2" s="124"/>
      <c r="BJ2" s="124"/>
      <c r="BK2" s="124"/>
      <c r="BL2" s="124"/>
      <c r="BM2" s="124"/>
      <c r="BN2" s="124"/>
      <c r="BO2" s="124"/>
      <c r="BP2" s="124"/>
      <c r="BQ2" s="122"/>
      <c r="BR2" s="55"/>
    </row>
    <row r="3" spans="1:253" ht="15.75" customHeight="1" thickBot="1">
      <c r="B3" s="709" t="str">
        <f>'NTS ONLY_set_year'!$E$137</f>
        <v>Dans toutes les feuilles de calcul, saisir les données dans les cellules jaunes ou ambres seulement. Commencez par entrer l'année ci-dessous (2026 est affiché lorsqu'aucune année n'a été entrée.)</v>
      </c>
      <c r="C3" s="710"/>
      <c r="D3" s="710"/>
      <c r="E3" s="710"/>
      <c r="F3" s="710"/>
      <c r="G3" s="710"/>
      <c r="H3" s="710"/>
      <c r="I3" s="710"/>
      <c r="J3" s="710"/>
      <c r="K3" s="711"/>
      <c r="M3" s="383"/>
      <c r="N3" s="384"/>
      <c r="O3" s="540"/>
      <c r="P3" s="712"/>
      <c r="Q3" s="700"/>
      <c r="R3" s="700"/>
      <c r="S3" s="94"/>
      <c r="AL3" s="121">
        <v>1</v>
      </c>
      <c r="AM3" s="121">
        <v>2</v>
      </c>
      <c r="AN3" s="121">
        <v>3</v>
      </c>
      <c r="AO3" s="121">
        <v>4</v>
      </c>
      <c r="AP3" s="121">
        <v>5</v>
      </c>
      <c r="AQ3" s="121">
        <v>6</v>
      </c>
      <c r="AR3" s="121">
        <v>7</v>
      </c>
      <c r="AS3" s="121">
        <v>8</v>
      </c>
      <c r="AT3" s="121">
        <v>9</v>
      </c>
      <c r="AU3" s="121">
        <v>10</v>
      </c>
      <c r="AV3" s="121">
        <v>11</v>
      </c>
      <c r="AW3" s="121">
        <v>12</v>
      </c>
      <c r="AX3" s="121">
        <v>13</v>
      </c>
      <c r="AY3" s="121">
        <v>14</v>
      </c>
      <c r="AZ3" s="121">
        <v>15</v>
      </c>
      <c r="BA3" s="121">
        <v>16</v>
      </c>
      <c r="BB3" s="121">
        <v>17</v>
      </c>
      <c r="BC3" s="121">
        <v>18</v>
      </c>
      <c r="BD3" s="121">
        <v>19</v>
      </c>
      <c r="BE3" s="121">
        <v>20</v>
      </c>
      <c r="BF3" s="121">
        <v>21</v>
      </c>
      <c r="BG3" s="121">
        <v>22</v>
      </c>
      <c r="BH3" s="121">
        <v>23</v>
      </c>
      <c r="BI3" s="121">
        <v>24</v>
      </c>
      <c r="BJ3" s="121">
        <v>25</v>
      </c>
      <c r="BK3" s="121">
        <v>26</v>
      </c>
      <c r="BL3" s="121">
        <v>27</v>
      </c>
      <c r="BM3" s="121">
        <v>28</v>
      </c>
      <c r="BN3" s="121">
        <v>29</v>
      </c>
      <c r="BO3" s="121">
        <v>30</v>
      </c>
      <c r="BP3" s="121">
        <v>31</v>
      </c>
      <c r="BR3" s="1"/>
      <c r="BU3" s="2"/>
      <c r="IS3" s="2"/>
    </row>
    <row r="4" spans="1:253" ht="12.75" hidden="1" customHeight="1" thickBot="1">
      <c r="B4" s="710"/>
      <c r="C4" s="710"/>
      <c r="D4" s="710"/>
      <c r="E4" s="710"/>
      <c r="F4" s="710"/>
      <c r="G4" s="710"/>
      <c r="H4" s="710"/>
      <c r="I4" s="710"/>
      <c r="J4" s="710"/>
      <c r="K4" s="711"/>
      <c r="L4" s="32"/>
      <c r="M4" s="94"/>
      <c r="N4" s="94"/>
      <c r="O4" s="699"/>
      <c r="P4" s="700"/>
      <c r="Q4" s="700"/>
      <c r="R4" s="700"/>
      <c r="S4" s="575"/>
      <c r="V4" s="126" t="str">
        <f>'NTS ONLY_set_year'!E113</f>
        <v>Québec</v>
      </c>
      <c r="Z4" s="122"/>
      <c r="AB4" s="127" t="s">
        <v>371</v>
      </c>
      <c r="AK4" s="128" t="s">
        <v>372</v>
      </c>
      <c r="AL4" s="121">
        <v>1</v>
      </c>
      <c r="AM4" s="121">
        <v>2</v>
      </c>
      <c r="AN4" s="121">
        <v>3</v>
      </c>
      <c r="AO4" s="121">
        <v>4</v>
      </c>
      <c r="AP4" s="121">
        <v>5</v>
      </c>
      <c r="AQ4" s="121">
        <v>6</v>
      </c>
      <c r="AR4" s="121">
        <v>7</v>
      </c>
      <c r="AS4" s="121">
        <v>8</v>
      </c>
      <c r="AT4" s="121">
        <v>9</v>
      </c>
      <c r="AU4" s="121">
        <v>10</v>
      </c>
      <c r="AV4" s="121">
        <v>11</v>
      </c>
      <c r="AW4" s="121">
        <v>12</v>
      </c>
      <c r="AX4" s="121">
        <v>13</v>
      </c>
      <c r="AY4" s="121">
        <v>14</v>
      </c>
      <c r="AZ4" s="121">
        <v>15</v>
      </c>
      <c r="BA4" s="121">
        <v>16</v>
      </c>
      <c r="BB4" s="121">
        <v>17</v>
      </c>
      <c r="BC4" s="121">
        <v>18</v>
      </c>
      <c r="BD4" s="121">
        <v>19</v>
      </c>
      <c r="BE4" s="121">
        <v>20</v>
      </c>
      <c r="BF4" s="121">
        <v>21</v>
      </c>
      <c r="BG4" s="121">
        <v>22</v>
      </c>
      <c r="BH4" s="121">
        <v>23</v>
      </c>
      <c r="BI4" s="121">
        <v>24</v>
      </c>
      <c r="BJ4" s="121">
        <v>25</v>
      </c>
      <c r="BK4" s="121">
        <v>26</v>
      </c>
      <c r="BL4" s="121">
        <v>27</v>
      </c>
      <c r="BM4" s="121">
        <v>28</v>
      </c>
      <c r="BN4" s="121">
        <v>29</v>
      </c>
      <c r="BO4" s="121">
        <v>30</v>
      </c>
      <c r="BP4" s="121">
        <v>31</v>
      </c>
      <c r="BR4" s="1"/>
      <c r="IS4" s="2"/>
    </row>
    <row r="5" spans="1:253" ht="24.75" customHeight="1" thickTop="1">
      <c r="B5" s="710"/>
      <c r="C5" s="710"/>
      <c r="D5" s="710"/>
      <c r="E5" s="710"/>
      <c r="F5" s="710"/>
      <c r="G5" s="710"/>
      <c r="H5" s="710"/>
      <c r="I5" s="710"/>
      <c r="J5" s="710"/>
      <c r="K5" s="711"/>
      <c r="L5" s="703" t="str">
        <f>'NTS ONLY_set_year'!$E$128</f>
        <v>Total des sommaires mensuels</v>
      </c>
      <c r="M5" s="704"/>
      <c r="N5" s="704"/>
      <c r="O5" s="704"/>
      <c r="P5" s="704"/>
      <c r="Q5" s="704"/>
      <c r="R5" s="704"/>
      <c r="S5" s="426"/>
      <c r="T5" s="96"/>
      <c r="V5" s="129" t="s">
        <v>373</v>
      </c>
      <c r="Y5" s="130"/>
      <c r="Z5" s="131" t="s">
        <v>374</v>
      </c>
      <c r="AA5" s="132" t="s">
        <v>375</v>
      </c>
      <c r="AB5" s="130"/>
      <c r="AC5" s="133"/>
      <c r="AD5" s="134" t="s">
        <v>376</v>
      </c>
      <c r="AE5" s="133"/>
      <c r="AF5" s="135"/>
      <c r="AG5" s="136">
        <v>31</v>
      </c>
      <c r="AH5" s="120" t="s">
        <v>377</v>
      </c>
      <c r="AK5" s="128">
        <v>0</v>
      </c>
      <c r="AL5" s="121">
        <v>0</v>
      </c>
      <c r="AM5" s="121">
        <v>0</v>
      </c>
      <c r="AN5" s="121">
        <v>0</v>
      </c>
      <c r="AO5" s="121">
        <v>0</v>
      </c>
      <c r="AP5" s="121">
        <v>0</v>
      </c>
      <c r="AQ5" s="121">
        <v>0</v>
      </c>
      <c r="AR5" s="121">
        <v>0</v>
      </c>
      <c r="AS5" s="121">
        <v>0</v>
      </c>
      <c r="AT5" s="121">
        <v>0</v>
      </c>
      <c r="AU5" s="121">
        <v>0</v>
      </c>
      <c r="AV5" s="121">
        <v>0</v>
      </c>
      <c r="AW5" s="121">
        <v>0</v>
      </c>
      <c r="AX5" s="121">
        <v>0</v>
      </c>
      <c r="AY5" s="121">
        <v>0</v>
      </c>
      <c r="AZ5" s="121">
        <v>0</v>
      </c>
      <c r="BA5" s="121">
        <v>0</v>
      </c>
      <c r="BB5" s="121">
        <v>0</v>
      </c>
      <c r="BC5" s="121">
        <v>0</v>
      </c>
      <c r="BD5" s="121">
        <v>0</v>
      </c>
      <c r="BE5" s="121">
        <v>0</v>
      </c>
      <c r="BF5" s="121">
        <v>0</v>
      </c>
      <c r="BG5" s="121">
        <v>0</v>
      </c>
      <c r="BH5" s="121">
        <v>0</v>
      </c>
      <c r="BI5" s="121">
        <v>0</v>
      </c>
      <c r="BJ5" s="121">
        <v>0</v>
      </c>
      <c r="BK5" s="121">
        <v>0</v>
      </c>
      <c r="BL5" s="121">
        <v>0</v>
      </c>
      <c r="BM5" s="121">
        <v>0</v>
      </c>
      <c r="BN5" s="121">
        <v>0</v>
      </c>
      <c r="BO5" s="121">
        <v>0</v>
      </c>
      <c r="BP5" s="121">
        <v>0</v>
      </c>
      <c r="BR5" s="1"/>
      <c r="IS5" s="2"/>
    </row>
    <row r="6" spans="1:253" ht="20.100000000000001" customHeight="1" thickBot="1">
      <c r="B6" s="636">
        <f>IF(OR(NOT(ISNUMBER(Year_four_digits)),Year_four_digits&lt;1990),"- -",Year_four_digits)</f>
        <v>2026</v>
      </c>
      <c r="C6" s="637"/>
      <c r="D6" s="23"/>
      <c r="E6" s="638" t="str">
        <f>'NTS ONLY_set_year'!$E$66</f>
        <v>Entrer l'année</v>
      </c>
      <c r="F6" s="639"/>
      <c r="G6" s="639"/>
      <c r="H6" s="640"/>
      <c r="I6" s="576">
        <f ca="1">SUM('01:12'!I7)</f>
        <v>0</v>
      </c>
      <c r="J6" s="577" t="str">
        <f>'NTS ONLY_set_year'!$E$24</f>
        <v>km d'affaires</v>
      </c>
      <c r="K6" s="24"/>
      <c r="L6" s="696" t="str">
        <f>'NTS ONLY_set_year'!$E$92</f>
        <v>Dépenses diverses</v>
      </c>
      <c r="M6" s="697"/>
      <c r="N6" s="697"/>
      <c r="O6" s="698"/>
      <c r="P6" s="701" t="str">
        <f>'NTS ONLY_set_year'!$E$17</f>
        <v>Montants reçus</v>
      </c>
      <c r="Q6" s="702"/>
      <c r="R6" s="702"/>
      <c r="S6" s="426"/>
      <c r="T6" s="96"/>
      <c r="Y6" s="137" t="s">
        <v>378</v>
      </c>
      <c r="Z6" s="138" t="b">
        <v>0</v>
      </c>
      <c r="AA6" s="139" t="b">
        <v>1</v>
      </c>
      <c r="AB6" s="140" t="s">
        <v>379</v>
      </c>
      <c r="AC6" s="141">
        <v>0</v>
      </c>
      <c r="AD6" s="142" t="b">
        <v>0</v>
      </c>
      <c r="AE6" s="143">
        <v>1</v>
      </c>
      <c r="AF6" s="144" t="s">
        <v>380</v>
      </c>
      <c r="AG6" s="145">
        <v>31</v>
      </c>
      <c r="AH6" s="120" t="s">
        <v>381</v>
      </c>
      <c r="AK6" s="146">
        <v>0</v>
      </c>
      <c r="AL6" s="121">
        <v>0</v>
      </c>
      <c r="AM6" s="121">
        <v>0</v>
      </c>
      <c r="AN6" s="121">
        <v>0</v>
      </c>
      <c r="AO6" s="121">
        <v>0</v>
      </c>
      <c r="AP6" s="121">
        <v>0</v>
      </c>
      <c r="AQ6" s="121">
        <v>0</v>
      </c>
      <c r="AR6" s="121">
        <v>0</v>
      </c>
      <c r="AS6" s="121">
        <v>0</v>
      </c>
      <c r="AT6" s="121">
        <v>0</v>
      </c>
      <c r="AU6" s="121">
        <v>0</v>
      </c>
      <c r="AV6" s="121">
        <v>0</v>
      </c>
      <c r="AW6" s="121">
        <v>0</v>
      </c>
      <c r="AX6" s="121">
        <v>0</v>
      </c>
      <c r="AY6" s="121">
        <v>0</v>
      </c>
      <c r="AZ6" s="121">
        <v>0</v>
      </c>
      <c r="BA6" s="121">
        <v>0</v>
      </c>
      <c r="BB6" s="121">
        <v>0</v>
      </c>
      <c r="BC6" s="121">
        <v>0</v>
      </c>
      <c r="BD6" s="121">
        <v>0</v>
      </c>
      <c r="BE6" s="121">
        <v>0</v>
      </c>
      <c r="BF6" s="121">
        <v>0</v>
      </c>
      <c r="BG6" s="121">
        <v>0</v>
      </c>
      <c r="BH6" s="121">
        <v>0</v>
      </c>
      <c r="BI6" s="121">
        <v>0</v>
      </c>
      <c r="BJ6" s="121">
        <v>0</v>
      </c>
      <c r="BK6" s="121">
        <v>0</v>
      </c>
      <c r="BL6" s="121">
        <v>0</v>
      </c>
      <c r="BM6" s="121">
        <v>0</v>
      </c>
      <c r="BN6" s="121">
        <v>0</v>
      </c>
      <c r="BO6" s="121">
        <v>0</v>
      </c>
      <c r="BP6" s="121">
        <v>0</v>
      </c>
      <c r="BR6" s="1"/>
      <c r="IS6" s="2"/>
    </row>
    <row r="7" spans="1:253" ht="15" thickTop="1" thickBot="1">
      <c r="B7" s="669"/>
      <c r="C7" s="670"/>
      <c r="D7" s="3"/>
      <c r="E7" s="50" t="s">
        <v>29</v>
      </c>
      <c r="F7" s="15"/>
      <c r="G7" s="675" t="str">
        <f>'NTS ONLY_set_year'!$E$9</f>
        <v>(aa ou aaaa)</v>
      </c>
      <c r="H7" s="676"/>
      <c r="I7" s="576">
        <f>SUM('01:12'!J7)</f>
        <v>0</v>
      </c>
      <c r="J7" s="6" t="str">
        <f>'NTS ONLY_set_year'!$E$110</f>
        <v>km personnel</v>
      </c>
      <c r="K7" s="24"/>
      <c r="L7" s="21"/>
      <c r="M7" s="13"/>
      <c r="N7" s="28" t="str">
        <f>'NTS ONLY_set_year'!$E$91</f>
        <v>Frais de location</v>
      </c>
      <c r="O7" s="578">
        <f>SUM('01:12'!N7)</f>
        <v>0</v>
      </c>
      <c r="P7" s="579">
        <f>SUM('01:12'!O7)</f>
        <v>0</v>
      </c>
      <c r="Q7" s="30" t="str">
        <f>'NTS ONLY_set_year'!$E$15</f>
        <v>Allocations reçues de l'employeur</v>
      </c>
      <c r="R7" s="424"/>
      <c r="S7" s="426"/>
      <c r="T7" s="96"/>
      <c r="V7" s="147" t="str">
        <f>IF(LEFT(TRIM('NTS ONLY_set_year'!B2),1)="Q",$V$4,$V$5)</f>
        <v>Québec</v>
      </c>
      <c r="Y7" s="148" t="s">
        <v>382</v>
      </c>
      <c r="Z7" s="149" t="b">
        <f>ISNUMBER(B7)</f>
        <v>0</v>
      </c>
      <c r="AA7" s="150" t="str">
        <f>IF(AA6,"▼▼▼ Enter month and year",AF6)</f>
        <v>▼▼▼ Enter month and year</v>
      </c>
      <c r="AB7" s="151" t="str">
        <f>E7</f>
        <v>◄◄◄</v>
      </c>
      <c r="AC7" s="152">
        <f>B7</f>
        <v>0</v>
      </c>
      <c r="AD7" s="153" t="b">
        <f>AND(ISNUMBER(B$7),OR(B$7&lt;0,INT(B$7)&lt;&gt;B$7))</f>
        <v>0</v>
      </c>
      <c r="AE7" s="154">
        <f>IF(AD7,2999,IF(B7&gt;2000,B7-2000,B7))</f>
        <v>0</v>
      </c>
      <c r="AF7" s="155">
        <f>IF(ISBLANK(B7),BASE_YEAR,2000+AE7)</f>
        <v>2026</v>
      </c>
      <c r="AH7" s="120" t="s">
        <v>383</v>
      </c>
      <c r="AK7" s="156" t="s">
        <v>384</v>
      </c>
      <c r="AM7" s="121" t="s">
        <v>78</v>
      </c>
      <c r="AN7" s="121" t="s">
        <v>385</v>
      </c>
      <c r="AS7" s="157"/>
      <c r="AT7" s="157"/>
      <c r="AU7" s="158" t="s">
        <v>386</v>
      </c>
      <c r="AV7" s="159">
        <f t="shared" ref="AV7:BG7" ca="1" si="1">INDIRECT(AV$2&amp;$BH7)</f>
        <v>1</v>
      </c>
      <c r="AW7" s="159">
        <f t="shared" ca="1" si="1"/>
        <v>1</v>
      </c>
      <c r="AX7" s="159">
        <f t="shared" ca="1" si="1"/>
        <v>1</v>
      </c>
      <c r="AY7" s="159">
        <f t="shared" ca="1" si="1"/>
        <v>1</v>
      </c>
      <c r="AZ7" s="159">
        <f t="shared" ca="1" si="1"/>
        <v>1</v>
      </c>
      <c r="BA7" s="159">
        <f t="shared" ca="1" si="1"/>
        <v>1</v>
      </c>
      <c r="BB7" s="159">
        <f t="shared" ca="1" si="1"/>
        <v>1</v>
      </c>
      <c r="BC7" s="159">
        <f t="shared" ca="1" si="1"/>
        <v>1</v>
      </c>
      <c r="BD7" s="159">
        <f t="shared" ca="1" si="1"/>
        <v>1</v>
      </c>
      <c r="BE7" s="159">
        <f t="shared" ca="1" si="1"/>
        <v>1</v>
      </c>
      <c r="BF7" s="159">
        <f t="shared" ca="1" si="1"/>
        <v>1</v>
      </c>
      <c r="BG7" s="159">
        <f t="shared" ca="1" si="1"/>
        <v>1</v>
      </c>
      <c r="BH7" s="121" t="str">
        <f>ADDRESS(ROW('01'!AJ16),COLUMN('01'!AJ16))</f>
        <v>$AJ$16</v>
      </c>
      <c r="BI7" s="160"/>
      <c r="BM7" s="160"/>
      <c r="BR7" s="1"/>
    </row>
    <row r="8" spans="1:253" ht="13.5" customHeight="1">
      <c r="B8" s="79"/>
      <c r="C8" s="580"/>
      <c r="D8" s="580"/>
      <c r="E8" s="580"/>
      <c r="F8" s="580"/>
      <c r="G8" s="580"/>
      <c r="H8" s="581"/>
      <c r="I8" s="119">
        <f>SUM('01:12'!H7)</f>
        <v>0</v>
      </c>
      <c r="J8" s="582" t="str">
        <f>'NTS ONLY_set_year'!$E$86</f>
        <v>km parcourus dans l'année</v>
      </c>
      <c r="K8" s="360"/>
      <c r="L8" s="38"/>
      <c r="M8" s="13"/>
      <c r="N8" s="29" t="str">
        <f>'NTS ONLY_set_year'!$E$81</f>
        <v>Frais d'intérêt</v>
      </c>
      <c r="O8" s="583">
        <f>SUM('01:12'!N8)</f>
        <v>0</v>
      </c>
      <c r="P8" s="584">
        <f>SUM('01:12'!O8)</f>
        <v>0</v>
      </c>
      <c r="Q8" s="31" t="str">
        <f>'NTS ONLY_set_year'!$E$114</f>
        <v>Remboursements de l'employeur</v>
      </c>
      <c r="R8" s="424"/>
      <c r="S8" s="426"/>
      <c r="T8" s="96"/>
      <c r="Z8" s="122"/>
      <c r="AB8" s="161" t="s">
        <v>387</v>
      </c>
      <c r="AC8" s="162">
        <v>0</v>
      </c>
      <c r="AD8" s="163">
        <v>0</v>
      </c>
      <c r="AI8" s="120" t="s">
        <v>388</v>
      </c>
      <c r="AL8" s="680" t="s">
        <v>389</v>
      </c>
      <c r="AN8" s="680" t="s">
        <v>390</v>
      </c>
      <c r="AQ8" s="643" t="s">
        <v>391</v>
      </c>
      <c r="AR8" s="680" t="s">
        <v>392</v>
      </c>
      <c r="AS8" s="157"/>
      <c r="AT8" s="157"/>
      <c r="AU8" s="158" t="s">
        <v>393</v>
      </c>
      <c r="AV8" s="159">
        <f t="shared" ref="AV8:BG10" ca="1" si="2">INDIRECT(AV$2&amp;$BH8)</f>
        <v>0</v>
      </c>
      <c r="AW8" s="159">
        <f t="shared" ca="1" si="2"/>
        <v>0</v>
      </c>
      <c r="AX8" s="159">
        <f t="shared" ca="1" si="2"/>
        <v>0</v>
      </c>
      <c r="AY8" s="159">
        <f t="shared" ca="1" si="2"/>
        <v>0</v>
      </c>
      <c r="AZ8" s="159">
        <f t="shared" ca="1" si="2"/>
        <v>0</v>
      </c>
      <c r="BA8" s="159">
        <f t="shared" ca="1" si="2"/>
        <v>0</v>
      </c>
      <c r="BB8" s="159">
        <f t="shared" ca="1" si="2"/>
        <v>0</v>
      </c>
      <c r="BC8" s="159">
        <f t="shared" ca="1" si="2"/>
        <v>0</v>
      </c>
      <c r="BD8" s="159">
        <f t="shared" ca="1" si="2"/>
        <v>0</v>
      </c>
      <c r="BE8" s="159">
        <f t="shared" ca="1" si="2"/>
        <v>0</v>
      </c>
      <c r="BF8" s="159">
        <f t="shared" ca="1" si="2"/>
        <v>0</v>
      </c>
      <c r="BG8" s="159">
        <f t="shared" ca="1" si="2"/>
        <v>0</v>
      </c>
      <c r="BH8" s="121" t="str">
        <f>ADDRESS(ROW('01'!AQ7),COLUMN('01'!AQ7))</f>
        <v>$AQ$7</v>
      </c>
      <c r="BI8" s="160"/>
      <c r="BM8" s="160"/>
      <c r="BR8" s="1"/>
    </row>
    <row r="9" spans="1:253" ht="12.75" customHeight="1">
      <c r="B9" s="385"/>
      <c r="C9" s="585"/>
      <c r="D9" s="585"/>
      <c r="E9" s="585"/>
      <c r="F9" s="585"/>
      <c r="G9" s="585"/>
      <c r="H9" s="586"/>
      <c r="I9" s="587" t="str">
        <f>IF(I8&lt;=0,"",I7/I8)</f>
        <v/>
      </c>
      <c r="J9" s="577" t="str">
        <f>IF($I$9&lt;0.5,"("&amp;'NTS ONLY_set_year'!$E$110&amp;" &lt;50%:",'NTS ONLY_set_year'!$E$110)</f>
        <v>km personnel</v>
      </c>
      <c r="K9" s="588"/>
      <c r="L9" s="38"/>
      <c r="M9" s="14"/>
      <c r="N9" s="29" t="str">
        <f>'NTS ONLY_set_year'!$E$79</f>
        <v>Assurance</v>
      </c>
      <c r="O9" s="589">
        <f>SUM('01:12'!N9)</f>
        <v>0</v>
      </c>
      <c r="P9" s="579">
        <f>SUM('01:12'!O9)</f>
        <v>0</v>
      </c>
      <c r="Q9" s="31" t="str">
        <f>'NTS ONLY_set_year'!$E$71</f>
        <v>Remboursement de la taxe d'accise sur l'essence</v>
      </c>
      <c r="R9" s="424"/>
      <c r="S9" s="426"/>
      <c r="T9" s="96"/>
      <c r="V9" s="165"/>
      <c r="W9" s="142"/>
      <c r="Y9" s="166" t="s">
        <v>109</v>
      </c>
      <c r="Z9" s="167">
        <f ca="1">SUM('01'!U5)</f>
        <v>0</v>
      </c>
      <c r="AB9" s="161" t="s">
        <v>387</v>
      </c>
      <c r="AC9" s="162">
        <v>0</v>
      </c>
      <c r="AD9" s="163">
        <v>0</v>
      </c>
      <c r="AL9" s="688"/>
      <c r="AN9" s="688"/>
      <c r="AQ9" s="643"/>
      <c r="AR9" s="688"/>
      <c r="AS9" s="157"/>
      <c r="AT9" s="157"/>
      <c r="AU9" s="158" t="s">
        <v>394</v>
      </c>
      <c r="AV9" s="159">
        <f t="shared" ca="1" si="2"/>
        <v>0</v>
      </c>
      <c r="AW9" s="159">
        <f t="shared" ca="1" si="2"/>
        <v>0</v>
      </c>
      <c r="AX9" s="159">
        <f t="shared" ca="1" si="2"/>
        <v>0</v>
      </c>
      <c r="AY9" s="159">
        <f t="shared" ca="1" si="2"/>
        <v>0</v>
      </c>
      <c r="AZ9" s="159">
        <f t="shared" ca="1" si="2"/>
        <v>0</v>
      </c>
      <c r="BA9" s="159">
        <f t="shared" ca="1" si="2"/>
        <v>0</v>
      </c>
      <c r="BB9" s="159">
        <f t="shared" ca="1" si="2"/>
        <v>0</v>
      </c>
      <c r="BC9" s="159">
        <f t="shared" ca="1" si="2"/>
        <v>0</v>
      </c>
      <c r="BD9" s="159">
        <f t="shared" ca="1" si="2"/>
        <v>0</v>
      </c>
      <c r="BE9" s="159">
        <f t="shared" ca="1" si="2"/>
        <v>0</v>
      </c>
      <c r="BF9" s="159">
        <f t="shared" ca="1" si="2"/>
        <v>0</v>
      </c>
      <c r="BG9" s="159">
        <f t="shared" ca="1" si="2"/>
        <v>0</v>
      </c>
      <c r="BH9" s="121" t="str">
        <f>ADDRESS(ROW('01'!AJ2),COLUMN('01'!AJ2))</f>
        <v>$AJ$2</v>
      </c>
      <c r="BM9" s="160"/>
      <c r="BR9" s="1"/>
    </row>
    <row r="10" spans="1:253" ht="13.2">
      <c r="B10" s="385"/>
      <c r="C10" s="585"/>
      <c r="D10" s="585"/>
      <c r="E10" s="585"/>
      <c r="F10" s="585"/>
      <c r="G10" s="585"/>
      <c r="H10" s="586"/>
      <c r="I10" s="677" t="str">
        <f>IF($I$9&lt;0.5,'NTS ONLY_set_year'!$E$125&amp;")","")</f>
        <v/>
      </c>
      <c r="J10" s="678"/>
      <c r="K10" s="679"/>
      <c r="L10" s="21"/>
      <c r="M10" s="13"/>
      <c r="N10" s="48" t="str">
        <f>'NTS ONLY_set_year'!$E$12</f>
        <v>Réparations accident (personnel)</v>
      </c>
      <c r="O10" s="583">
        <f>SUM('01:12'!N10)</f>
        <v>0</v>
      </c>
      <c r="P10" s="584">
        <f>SUM('01:12'!O10)</f>
        <v>0</v>
      </c>
      <c r="Q10" s="31" t="str">
        <f>'NTS ONLY_set_year'!$E$72</f>
        <v>Remboursement de la TPS/TVH reçue</v>
      </c>
      <c r="R10" s="424"/>
      <c r="S10" s="426"/>
      <c r="T10" s="96"/>
      <c r="V10" s="120" t="str">
        <f>'NTS ONLY_set_year'!E103</f>
        <v>ok</v>
      </c>
      <c r="Z10" s="169"/>
      <c r="AA10" s="169"/>
      <c r="AB10" s="170" t="s">
        <v>387</v>
      </c>
      <c r="AC10" s="171"/>
      <c r="AD10" s="170"/>
      <c r="AE10" s="171"/>
      <c r="AF10" s="172"/>
      <c r="AG10" s="169"/>
      <c r="AH10" s="173"/>
      <c r="AI10" s="169"/>
      <c r="AJ10" s="169"/>
      <c r="AL10" s="688"/>
      <c r="AM10" s="174"/>
      <c r="AN10" s="688"/>
      <c r="AO10" s="174"/>
      <c r="AP10" s="174"/>
      <c r="AQ10" s="643"/>
      <c r="AR10" s="688"/>
      <c r="AS10" s="157"/>
      <c r="AT10" s="157"/>
      <c r="AU10" s="158" t="s">
        <v>395</v>
      </c>
      <c r="AV10" s="159">
        <f t="shared" ca="1" si="2"/>
        <v>31</v>
      </c>
      <c r="AW10" s="159">
        <f t="shared" ca="1" si="2"/>
        <v>28</v>
      </c>
      <c r="AX10" s="159">
        <f t="shared" ca="1" si="2"/>
        <v>31</v>
      </c>
      <c r="AY10" s="159">
        <f t="shared" ca="1" si="2"/>
        <v>30</v>
      </c>
      <c r="AZ10" s="159">
        <f t="shared" ca="1" si="2"/>
        <v>31</v>
      </c>
      <c r="BA10" s="159">
        <f t="shared" ca="1" si="2"/>
        <v>30</v>
      </c>
      <c r="BB10" s="159">
        <f t="shared" ca="1" si="2"/>
        <v>31</v>
      </c>
      <c r="BC10" s="159">
        <f t="shared" ca="1" si="2"/>
        <v>31</v>
      </c>
      <c r="BD10" s="159">
        <f t="shared" ca="1" si="2"/>
        <v>30</v>
      </c>
      <c r="BE10" s="159">
        <f t="shared" ca="1" si="2"/>
        <v>31</v>
      </c>
      <c r="BF10" s="159">
        <f t="shared" ca="1" si="2"/>
        <v>30</v>
      </c>
      <c r="BG10" s="159">
        <f t="shared" ca="1" si="2"/>
        <v>31</v>
      </c>
      <c r="BH10" s="121" t="str">
        <f>ADDRESS(ROW('01'!AF5),COLUMN('01'!AF5))</f>
        <v>$AF$5</v>
      </c>
      <c r="BI10" s="174"/>
      <c r="BJ10" s="174"/>
      <c r="BK10" s="174"/>
      <c r="BL10" s="174"/>
      <c r="BM10" s="160"/>
      <c r="BN10" s="174"/>
      <c r="BO10" s="174"/>
      <c r="BP10" s="174"/>
      <c r="BR10" s="5"/>
      <c r="BS10" s="4"/>
      <c r="BT10" s="4"/>
      <c r="BU10" s="4"/>
    </row>
    <row r="11" spans="1:253" ht="13.2">
      <c r="B11" s="671" t="str">
        <f>'NTS ONLY_set_year'!$E$120</f>
        <v>Notes spéciales :</v>
      </c>
      <c r="C11" s="671"/>
      <c r="D11" s="671"/>
      <c r="E11" s="671"/>
      <c r="F11" s="671"/>
      <c r="G11" s="671"/>
      <c r="H11" s="672"/>
      <c r="I11" s="80"/>
      <c r="J11" s="80" t="str">
        <f>'NTS ONLY_set_year'!$E$52</f>
        <v>Jours de disponibilité du véhicule</v>
      </c>
      <c r="K11" s="81">
        <f ca="1">$V$19</f>
        <v>365</v>
      </c>
      <c r="L11" s="22"/>
      <c r="M11" s="13"/>
      <c r="N11" s="48" t="str">
        <f>'NTS ONLY_set_year'!$E$11</f>
        <v>Réparations accident (affaires)</v>
      </c>
      <c r="O11" s="589">
        <f>SUM('01:12'!N11)</f>
        <v>0</v>
      </c>
      <c r="P11" s="590">
        <f>SUM('01:12'!O11)</f>
        <v>0</v>
      </c>
      <c r="Q11" s="31" t="str">
        <f>'NTS ONLY_set_year'!$E$164</f>
        <v>Remboursement de la TVQ reçue</v>
      </c>
      <c r="R11" s="424"/>
      <c r="S11" s="426"/>
      <c r="T11" s="96"/>
      <c r="V11" s="120" t="str">
        <f>'NTS ONLY_set_year'!E96</f>
        <v>Pas de problème</v>
      </c>
      <c r="Z11" s="175"/>
      <c r="AA11" s="175"/>
      <c r="AB11" s="121">
        <v>0</v>
      </c>
      <c r="AC11" s="176"/>
      <c r="AD11" s="169"/>
      <c r="AE11" s="174"/>
      <c r="AF11" s="177"/>
      <c r="AH11" s="169"/>
      <c r="AI11" s="169"/>
      <c r="AJ11" s="169"/>
      <c r="AL11" s="688"/>
      <c r="AM11" s="174"/>
      <c r="AN11" s="688"/>
      <c r="AO11" s="174"/>
      <c r="AP11" s="174"/>
      <c r="AQ11" s="643"/>
      <c r="AR11" s="688"/>
      <c r="AS11" s="168"/>
      <c r="AT11" s="168"/>
      <c r="AU11" s="168"/>
      <c r="AV11" s="174"/>
      <c r="AW11" s="174"/>
      <c r="AX11" s="174"/>
      <c r="AY11" s="174"/>
      <c r="AZ11" s="174"/>
      <c r="BA11" s="174"/>
      <c r="BB11" s="174"/>
      <c r="BC11" s="174"/>
      <c r="BD11" s="174"/>
      <c r="BE11" s="174"/>
      <c r="BF11" s="174"/>
      <c r="BG11" s="174"/>
      <c r="BH11" s="174"/>
      <c r="BI11" s="174"/>
      <c r="BJ11" s="174"/>
      <c r="BK11" s="174"/>
      <c r="BL11" s="174"/>
      <c r="BM11" s="174"/>
      <c r="BN11" s="174"/>
      <c r="BO11" s="174"/>
      <c r="BP11" s="174"/>
      <c r="BR11" s="5"/>
      <c r="BS11" s="4"/>
      <c r="BT11" s="4"/>
      <c r="BU11" s="4"/>
    </row>
    <row r="12" spans="1:253" ht="13.5" customHeight="1">
      <c r="B12" s="662"/>
      <c r="C12" s="663"/>
      <c r="D12" s="663"/>
      <c r="E12" s="663"/>
      <c r="F12" s="663"/>
      <c r="G12" s="663"/>
      <c r="H12" s="663"/>
      <c r="I12" s="663"/>
      <c r="J12" s="663"/>
      <c r="K12" s="663"/>
      <c r="L12" s="664"/>
      <c r="M12" s="665"/>
      <c r="N12" s="31"/>
      <c r="O12" s="31"/>
      <c r="P12" s="591">
        <f>SUM('01:12'!O12)</f>
        <v>0</v>
      </c>
      <c r="Q12" s="386" t="str">
        <f>'NTS ONLY_set_year'!$E$80</f>
        <v>Produit d'assurance</v>
      </c>
      <c r="R12" s="425"/>
      <c r="S12" s="97"/>
      <c r="T12" s="96"/>
      <c r="Z12" s="175"/>
      <c r="AA12" s="175"/>
      <c r="AB12" s="175"/>
      <c r="AC12" s="176"/>
      <c r="AD12" s="169"/>
      <c r="AE12" s="174"/>
      <c r="AF12" s="177"/>
      <c r="AH12" s="169"/>
      <c r="AI12" s="169"/>
      <c r="AJ12" s="169"/>
      <c r="AK12" s="169"/>
      <c r="AL12" s="688"/>
      <c r="AM12" s="174"/>
      <c r="AN12" s="688"/>
      <c r="AO12" s="174"/>
      <c r="AP12" s="174"/>
      <c r="AQ12" s="643"/>
      <c r="AR12" s="688"/>
      <c r="AS12" s="168"/>
      <c r="AT12" s="168"/>
      <c r="AU12" s="168"/>
      <c r="AV12" s="174"/>
      <c r="AW12" s="174"/>
      <c r="AX12" s="174"/>
      <c r="AY12" s="174"/>
      <c r="AZ12" s="174"/>
      <c r="BA12" s="174"/>
      <c r="BB12" s="174"/>
      <c r="BC12" s="174"/>
      <c r="BD12" s="174"/>
      <c r="BE12" s="174"/>
      <c r="BF12" s="174"/>
      <c r="BG12" s="174"/>
      <c r="BH12" s="174"/>
      <c r="BI12" s="174"/>
      <c r="BJ12" s="174"/>
      <c r="BK12" s="174"/>
      <c r="BL12" s="174"/>
      <c r="BM12" s="174"/>
      <c r="BN12" s="174"/>
      <c r="BO12" s="174"/>
      <c r="BP12" s="174"/>
      <c r="BR12" s="5"/>
      <c r="BS12" s="4"/>
      <c r="BT12" s="4"/>
      <c r="BU12" s="4"/>
    </row>
    <row r="13" spans="1:253" ht="3.75" hidden="1" customHeight="1">
      <c r="B13" s="666"/>
      <c r="C13" s="667"/>
      <c r="D13" s="667"/>
      <c r="E13" s="667"/>
      <c r="F13" s="667"/>
      <c r="G13" s="667"/>
      <c r="H13" s="667"/>
      <c r="I13" s="667"/>
      <c r="J13" s="667"/>
      <c r="K13" s="667"/>
      <c r="L13" s="652"/>
      <c r="M13" s="668"/>
      <c r="N13" s="47"/>
      <c r="O13" s="403"/>
      <c r="P13" s="403"/>
      <c r="Q13" s="403"/>
      <c r="R13" s="403"/>
      <c r="S13" s="97"/>
      <c r="T13" s="96"/>
      <c r="Z13" s="175"/>
      <c r="AA13" s="168" t="s">
        <v>396</v>
      </c>
      <c r="AB13" s="175"/>
      <c r="AC13" s="176"/>
      <c r="AD13" s="169"/>
      <c r="AE13" s="174"/>
      <c r="AF13" s="177"/>
      <c r="AH13" s="169"/>
      <c r="AI13" s="169"/>
      <c r="AJ13" s="169"/>
      <c r="AK13" s="169"/>
      <c r="AL13" s="688"/>
      <c r="AM13" s="174"/>
      <c r="AN13" s="688"/>
      <c r="AO13" s="174"/>
      <c r="AP13" s="174"/>
      <c r="AQ13" s="643"/>
      <c r="AR13" s="688"/>
      <c r="AS13" s="168"/>
      <c r="AT13" s="168"/>
      <c r="AU13" s="168"/>
      <c r="AV13" s="174"/>
      <c r="AW13" s="174"/>
      <c r="AX13" s="174"/>
      <c r="AY13" s="174"/>
      <c r="AZ13" s="174"/>
      <c r="BA13" s="174"/>
      <c r="BB13" s="174"/>
      <c r="BC13" s="174"/>
      <c r="BD13" s="174"/>
      <c r="BE13" s="174"/>
      <c r="BF13" s="174"/>
      <c r="BG13" s="174"/>
      <c r="BH13" s="174"/>
      <c r="BI13" s="174"/>
      <c r="BJ13" s="174"/>
      <c r="BK13" s="174"/>
      <c r="BL13" s="174"/>
      <c r="BM13" s="174"/>
      <c r="BN13" s="174"/>
      <c r="BO13" s="174"/>
      <c r="BP13" s="174"/>
      <c r="BR13" s="5"/>
      <c r="BS13" s="4"/>
      <c r="BT13" s="4"/>
      <c r="BU13" s="4"/>
    </row>
    <row r="14" spans="1:253" ht="14.25" customHeight="1">
      <c r="B14" s="666"/>
      <c r="C14" s="667"/>
      <c r="D14" s="667"/>
      <c r="E14" s="667"/>
      <c r="F14" s="667"/>
      <c r="G14" s="667"/>
      <c r="H14" s="667"/>
      <c r="I14" s="667"/>
      <c r="J14" s="667"/>
      <c r="K14" s="667"/>
      <c r="L14" s="652"/>
      <c r="M14" s="668"/>
      <c r="N14" s="659" t="str">
        <f>'NTS ONLY_set_year'!$E$23</f>
        <v>Kilomètres d'affaires parcourus</v>
      </c>
      <c r="O14" s="689" t="str">
        <f>'NTS ONLY_set_year'!$E$67</f>
        <v>Autres dépenses</v>
      </c>
      <c r="P14" s="690"/>
      <c r="Q14" s="690"/>
      <c r="R14" s="691"/>
      <c r="T14" s="96"/>
      <c r="V14" s="120" t="str">
        <f>'NTS ONLY_set_year'!E37</f>
        <v>Vérifier</v>
      </c>
      <c r="Z14" s="178"/>
      <c r="AB14" s="178"/>
      <c r="AC14" s="168"/>
      <c r="AL14" s="688"/>
      <c r="AN14" s="688"/>
      <c r="AQ14" s="643"/>
      <c r="AR14" s="688"/>
      <c r="AS14" s="680" t="s">
        <v>397</v>
      </c>
      <c r="AT14" s="168"/>
      <c r="AU14" s="168"/>
      <c r="BR14" s="1"/>
    </row>
    <row r="15" spans="1:253" ht="21" customHeight="1">
      <c r="B15" s="666"/>
      <c r="C15" s="667"/>
      <c r="D15" s="667"/>
      <c r="E15" s="667"/>
      <c r="F15" s="667"/>
      <c r="G15" s="667"/>
      <c r="H15" s="667"/>
      <c r="I15" s="667"/>
      <c r="J15" s="667"/>
      <c r="K15" s="667"/>
      <c r="L15" s="652"/>
      <c r="M15" s="668"/>
      <c r="N15" s="660"/>
      <c r="O15" s="673" t="str">
        <f>'NTS ONLY_set_year'!$E$106</f>
        <v>Station-
nement</v>
      </c>
      <c r="P15" s="682" t="str">
        <f>'NTS ONLY_set_year'!$E$70</f>
        <v>Essence
et huile</v>
      </c>
      <c r="Q15" s="682" t="str">
        <f>'NTS ONLY_set_year'!$E$97</f>
        <v>Réparations et entretien courants</v>
      </c>
      <c r="R15" s="684" t="str">
        <f>'NTS ONLY_set_year'!$E$105</f>
        <v>Autres frais d'exploitation (comme l'immatriculation et le permis)</v>
      </c>
      <c r="S15" s="686"/>
      <c r="T15" s="96"/>
      <c r="V15" s="179" t="s">
        <v>398</v>
      </c>
      <c r="Z15" s="178"/>
      <c r="AA15" s="180">
        <v>31</v>
      </c>
      <c r="AB15" s="178"/>
      <c r="AC15" s="180">
        <v>0</v>
      </c>
      <c r="AL15" s="688"/>
      <c r="AN15" s="688"/>
      <c r="AQ15" s="643"/>
      <c r="AR15" s="688"/>
      <c r="AS15" s="681"/>
      <c r="AT15" s="168"/>
      <c r="AU15" s="168"/>
      <c r="BR15" s="1"/>
    </row>
    <row r="16" spans="1:253" ht="14.25" customHeight="1" thickBot="1">
      <c r="B16" s="666"/>
      <c r="C16" s="667"/>
      <c r="D16" s="667"/>
      <c r="E16" s="667"/>
      <c r="F16" s="667"/>
      <c r="G16" s="667"/>
      <c r="H16" s="667"/>
      <c r="I16" s="667"/>
      <c r="J16" s="667"/>
      <c r="K16" s="667"/>
      <c r="L16" s="652"/>
      <c r="M16" s="668"/>
      <c r="N16" s="661"/>
      <c r="O16" s="674"/>
      <c r="P16" s="683"/>
      <c r="Q16" s="683"/>
      <c r="R16" s="685"/>
      <c r="S16" s="687"/>
      <c r="T16" s="96"/>
      <c r="V16" s="181" t="s">
        <v>399</v>
      </c>
      <c r="AA16" s="182">
        <v>164</v>
      </c>
      <c r="AL16" s="688"/>
      <c r="AN16" s="688"/>
      <c r="AQ16" s="183">
        <v>999</v>
      </c>
      <c r="AR16" s="688"/>
      <c r="AS16" s="681"/>
      <c r="AT16" s="168"/>
      <c r="AU16" s="168"/>
      <c r="BR16" s="1"/>
    </row>
    <row r="17" spans="2:70" ht="13.5" customHeight="1" thickTop="1" thickBot="1">
      <c r="B17" s="666"/>
      <c r="C17" s="667"/>
      <c r="D17" s="667"/>
      <c r="E17" s="667"/>
      <c r="F17" s="667"/>
      <c r="G17" s="667"/>
      <c r="H17" s="667"/>
      <c r="I17" s="667"/>
      <c r="J17" s="667"/>
      <c r="K17" s="667"/>
      <c r="L17" s="652"/>
      <c r="M17" s="668"/>
      <c r="N17" s="460">
        <f ca="1">SUM('01:12'!M19)</f>
        <v>0</v>
      </c>
      <c r="O17" s="461">
        <f ca="1">SUM('01:12'!N19)</f>
        <v>0</v>
      </c>
      <c r="P17" s="70">
        <f ca="1">SUM('01:12'!O19)</f>
        <v>0</v>
      </c>
      <c r="Q17" s="70">
        <f ca="1">SUM('01:12'!P19)</f>
        <v>0</v>
      </c>
      <c r="R17" s="462">
        <f ca="1">SUM('01:12'!Q19)</f>
        <v>0</v>
      </c>
      <c r="S17" s="687"/>
      <c r="T17" s="96"/>
      <c r="V17" s="184" t="s">
        <v>400</v>
      </c>
      <c r="W17" s="185"/>
      <c r="Y17" s="175"/>
      <c r="Z17" s="175"/>
      <c r="AA17" s="182"/>
      <c r="AC17" s="121" t="s">
        <v>384</v>
      </c>
      <c r="AD17" s="175"/>
      <c r="AG17" s="120">
        <v>0</v>
      </c>
      <c r="AJ17" s="186" t="s">
        <v>401</v>
      </c>
      <c r="AK17" s="186"/>
      <c r="AL17" s="688"/>
      <c r="AN17" s="688"/>
      <c r="AQ17" s="183">
        <v>999</v>
      </c>
      <c r="AR17" s="688"/>
      <c r="AS17" s="681"/>
      <c r="AT17" s="168"/>
      <c r="AU17" s="168"/>
      <c r="AV17" s="187" t="s">
        <v>402</v>
      </c>
      <c r="AW17" s="157"/>
      <c r="AX17" s="157"/>
      <c r="AY17" s="157"/>
      <c r="AZ17" s="157"/>
      <c r="BA17" s="157"/>
      <c r="BB17" s="157"/>
      <c r="BC17" s="157"/>
      <c r="BD17" s="157"/>
      <c r="BE17" s="157"/>
      <c r="BF17" s="157"/>
      <c r="BG17" s="157"/>
      <c r="BR17" s="1"/>
    </row>
    <row r="18" spans="2:70" ht="7.5" customHeight="1" thickTop="1" thickBot="1">
      <c r="B18" s="463"/>
      <c r="C18" s="464"/>
      <c r="D18" s="464"/>
      <c r="E18" s="464"/>
      <c r="F18" s="464"/>
      <c r="G18" s="464"/>
      <c r="H18" s="464"/>
      <c r="I18" s="464"/>
      <c r="J18" s="464"/>
      <c r="K18" s="465"/>
      <c r="L18" s="466"/>
      <c r="M18" s="467"/>
      <c r="N18" s="468"/>
      <c r="O18" s="468"/>
      <c r="P18" s="468"/>
      <c r="Q18" s="468"/>
      <c r="R18" s="469"/>
      <c r="S18" s="98"/>
      <c r="T18" s="96"/>
      <c r="V18" s="188"/>
      <c r="W18" s="185"/>
      <c r="Y18" s="175"/>
      <c r="Z18" s="175"/>
      <c r="AA18" s="182"/>
      <c r="AD18" s="175"/>
      <c r="AJ18" s="186"/>
      <c r="AK18" s="186"/>
      <c r="AL18" s="168"/>
      <c r="AN18" s="168"/>
      <c r="AQ18" s="183"/>
      <c r="AR18" s="168"/>
      <c r="AS18" s="168"/>
      <c r="AT18" s="168"/>
      <c r="AU18" s="168"/>
      <c r="AV18" s="187"/>
      <c r="AW18" s="157"/>
      <c r="AX18" s="157"/>
      <c r="AY18" s="157"/>
      <c r="AZ18" s="157"/>
      <c r="BA18" s="157"/>
      <c r="BB18" s="157"/>
      <c r="BC18" s="157"/>
      <c r="BD18" s="157"/>
      <c r="BE18" s="157"/>
      <c r="BF18" s="157"/>
      <c r="BG18" s="157"/>
      <c r="BR18" s="1"/>
    </row>
    <row r="19" spans="2:70" ht="24" customHeight="1" thickTop="1">
      <c r="B19" s="657" t="str">
        <f>'NTS ONLY_set_year'!$E$63</f>
        <v xml:space="preserve">Entrer "X" pour tout mois où aucune automobile n'était disponible
     ▼▼ </v>
      </c>
      <c r="C19" s="657"/>
      <c r="D19" s="422"/>
      <c r="E19" s="713" t="str">
        <f>'NTS ONLY_set_year'!$E$94</f>
        <v>Registres mensuels :
Jours manquants ou non ordonnés?</v>
      </c>
      <c r="F19" s="714"/>
      <c r="G19" s="646" t="str">
        <f>'NTS ONLY_set_year'!$E$45</f>
        <v>Problèmes courants du compteur de km - diagnostics (de détection des erreurs)</v>
      </c>
      <c r="H19" s="647"/>
      <c r="I19" s="647"/>
      <c r="J19" s="647"/>
      <c r="K19" s="647"/>
      <c r="L19" s="647"/>
      <c r="M19" s="647"/>
      <c r="N19" s="647"/>
      <c r="O19" s="647"/>
      <c r="P19" s="647"/>
      <c r="Q19" s="647"/>
      <c r="R19" s="423"/>
      <c r="S19" s="98"/>
      <c r="T19" s="96"/>
      <c r="V19" s="189">
        <f ca="1">V20-V21</f>
        <v>365</v>
      </c>
      <c r="W19" s="185"/>
      <c r="Y19" s="175"/>
      <c r="Z19" s="175"/>
      <c r="AA19" s="182"/>
      <c r="AD19" s="175"/>
      <c r="AJ19" s="186" t="str">
        <f>LOWER($AJ$20)</f>
        <v>vérifier</v>
      </c>
      <c r="AK19" s="190" t="str">
        <f>" "&amp;'NTS ONLY_set_year'!$E$44</f>
        <v xml:space="preserve"> Comparer la fin avec la lecture la plus élevée du mois</v>
      </c>
      <c r="AL19" s="168"/>
      <c r="AN19" s="168"/>
      <c r="AQ19" s="183"/>
      <c r="AR19" s="168"/>
      <c r="AS19" s="168"/>
      <c r="AT19" s="168"/>
      <c r="AU19" s="168"/>
      <c r="AV19" s="187"/>
      <c r="AW19" s="157"/>
      <c r="AX19" s="157"/>
      <c r="AY19" s="157"/>
      <c r="AZ19" s="157"/>
      <c r="BA19" s="157"/>
      <c r="BB19" s="157"/>
      <c r="BC19" s="157"/>
      <c r="BD19" s="157"/>
      <c r="BE19" s="157"/>
      <c r="BF19" s="157"/>
      <c r="BG19" s="157"/>
      <c r="BR19" s="1"/>
    </row>
    <row r="20" spans="2:70" ht="21" customHeight="1">
      <c r="B20" s="658"/>
      <c r="C20" s="658"/>
      <c r="E20" s="715"/>
      <c r="F20" s="716"/>
      <c r="G20" s="380"/>
      <c r="H20" s="592"/>
      <c r="I20" s="654"/>
      <c r="J20" s="655"/>
      <c r="K20" s="655"/>
      <c r="L20" s="656"/>
      <c r="M20" s="733" t="str">
        <f>'NTS ONLY_set_year'!$E$100</f>
        <v>Compteur pour le début et/ou la fin du mois</v>
      </c>
      <c r="N20" s="733"/>
      <c r="O20" s="733"/>
      <c r="P20" s="734"/>
      <c r="Q20" s="644" t="str">
        <f>'NTS ONLY_set_year'!$E$78</f>
        <v>Entrées individuelles du compteur</v>
      </c>
      <c r="R20" s="101"/>
      <c r="S20" s="53"/>
      <c r="T20" s="96"/>
      <c r="V20" s="188">
        <f ca="1">SUM(AV10:BG10)</f>
        <v>365</v>
      </c>
      <c r="W20" s="185"/>
      <c r="Y20" s="191" t="str">
        <f ca="1">IF(ISNUMBER(MATCH('NTS ONLY_set_year'!$E$37,M24:M35,0)),'NTS ONLY_set_year'!$E$111,'NTS ONLY_set_year'!$E$96)</f>
        <v>Pas de problème</v>
      </c>
      <c r="Z20" s="191" t="str">
        <f ca="1">IF(ISNUMBER(MATCH('NTS ONLY_set_year'!$E$37,N24:N35,0)),'NTS ONLY_set_year'!$E$111,'NTS ONLY_set_year'!$E$96)</f>
        <v>Pas de problème</v>
      </c>
      <c r="AA20" s="191" t="str">
        <f ca="1">IF(ISNUMBER(MATCH('NTS ONLY_set_year'!$E$37,O24:O35,0)),'NTS ONLY_set_year'!$E$111,'NTS ONLY_set_year'!$E$96)</f>
        <v>Pas de problème</v>
      </c>
      <c r="AB20" s="191" t="str">
        <f ca="1">IF(ISNUMBER(MATCH('NTS ONLY_set_year'!$E$37,P24:P35,0)),'NTS ONLY_set_year'!$E$111,'NTS ONLY_set_year'!$E$96)</f>
        <v>Pas de problème</v>
      </c>
      <c r="AD20" s="175"/>
      <c r="AJ20" s="186" t="str">
        <f>'NTS ONLY_set_year'!$E$37</f>
        <v>Vérifier</v>
      </c>
      <c r="AK20" s="186" t="str">
        <f>" "&amp;'NTS ONLY_set_year'!$E$13</f>
        <v xml:space="preserve"> Par rapport à la plus petite lecture du mois</v>
      </c>
      <c r="AL20" s="168"/>
      <c r="AN20" s="168"/>
      <c r="AQ20" s="183"/>
      <c r="AR20" s="168"/>
      <c r="AS20" s="168"/>
      <c r="AT20" s="168"/>
      <c r="AU20" s="168"/>
      <c r="AV20" s="187"/>
      <c r="AW20" s="157"/>
      <c r="AX20" s="157"/>
      <c r="AY20" s="157"/>
      <c r="AZ20" s="157"/>
      <c r="BA20" s="157"/>
      <c r="BB20" s="157"/>
      <c r="BC20" s="157"/>
      <c r="BD20" s="157"/>
      <c r="BE20" s="157"/>
      <c r="BF20" s="157"/>
      <c r="BG20" s="157"/>
      <c r="BR20" s="1"/>
    </row>
    <row r="21" spans="2:70" ht="24.75" customHeight="1">
      <c r="B21" s="658"/>
      <c r="C21" s="658"/>
      <c r="E21" s="715"/>
      <c r="F21" s="716"/>
      <c r="G21" s="651" t="str">
        <f>'NTS ONLY_set_year'!$E$36</f>
        <v>Automobiles utilisées*</v>
      </c>
      <c r="H21" s="592"/>
      <c r="I21" s="723" t="str">
        <f>'NTS ONLY_set_year'!E117</f>
        <v>Lecture de DÉBUT la moins élevée de toutes les voitures</v>
      </c>
      <c r="J21" s="726" t="str">
        <f>'NTS ONLY_set_year'!E89</f>
        <v>Lecture de FIN la plus élevée de toutes les voitures</v>
      </c>
      <c r="K21" s="593"/>
      <c r="L21" s="594"/>
      <c r="M21" s="719" t="str">
        <f>'NTS ONLY_set_year'!$E$123</f>
        <v>DÉBUT
ne concorde pas avec la FIN du mois précédent</v>
      </c>
      <c r="N21" s="719" t="str">
        <f>'NTS ONLY_set_year'!$E$122</f>
        <v>DÉBUT
excède la plus petite lecture du mois</v>
      </c>
      <c r="O21" s="719" t="str">
        <f>'NTS ONLY_set_year'!$E$60</f>
        <v>FIN
est inférieur
à la plus grande lecture du
mois</v>
      </c>
      <c r="P21" s="649" t="str">
        <f>'NTS ONLY_set_year'!$E$85</f>
        <v>km (FIN moins DÉBUT) peut être nul ou négatif</v>
      </c>
      <c r="Q21" s="645"/>
      <c r="R21" s="595"/>
      <c r="S21" s="99"/>
      <c r="T21" s="96"/>
      <c r="V21" s="192">
        <f ca="1">SUM(V24:V35)</f>
        <v>0</v>
      </c>
      <c r="W21" s="648" t="s">
        <v>403</v>
      </c>
      <c r="Y21" s="175"/>
      <c r="Z21" s="175"/>
      <c r="AA21" s="182"/>
      <c r="AD21" s="175"/>
      <c r="AJ21" s="186" t="str">
        <f>'NTS ONLY_set_year'!$E$41</f>
        <v>Vérifier début</v>
      </c>
      <c r="AK21" s="186" t="str">
        <f>" "&amp;'NTS ONLY_set_year'!$E$14</f>
        <v xml:space="preserve"> par rapport à la fin du mois précédent</v>
      </c>
      <c r="AN21" s="168"/>
      <c r="AQ21" s="183"/>
      <c r="AR21" s="168"/>
      <c r="AS21" s="168"/>
      <c r="AT21" s="168"/>
      <c r="AU21" s="168"/>
      <c r="AV21" s="187"/>
      <c r="AW21" s="157"/>
      <c r="AX21" s="157"/>
      <c r="AY21" s="157"/>
      <c r="AZ21" s="157"/>
      <c r="BA21" s="157"/>
      <c r="BB21" s="157"/>
      <c r="BC21" s="157"/>
      <c r="BD21" s="157"/>
      <c r="BE21" s="157"/>
      <c r="BF21" s="157"/>
      <c r="BG21" s="157"/>
      <c r="BR21" s="1"/>
    </row>
    <row r="22" spans="2:70" ht="13.2">
      <c r="B22" s="658"/>
      <c r="C22" s="658"/>
      <c r="E22" s="715"/>
      <c r="F22" s="716"/>
      <c r="G22" s="652"/>
      <c r="H22" s="592"/>
      <c r="I22" s="724"/>
      <c r="J22" s="727"/>
      <c r="K22" s="723" t="str">
        <f>'NTS ONLY_set_year'!E118</f>
        <v>Déplace- 
ment le plus petit en km</v>
      </c>
      <c r="L22" s="731" t="str">
        <f>'NTS ONLY_set_year'!E90</f>
        <v>Déplace-
ment le plus grand en km</v>
      </c>
      <c r="M22" s="632"/>
      <c r="N22" s="632"/>
      <c r="O22" s="632"/>
      <c r="P22" s="650"/>
      <c r="Q22" s="729" t="str">
        <f>'NTS ONLY_set_year'!$E$8</f>
        <v>(par ex., si le km au départ est inférieur au km à l'arrivée du déplacement précédent)</v>
      </c>
      <c r="R22" s="595"/>
      <c r="S22" s="99"/>
      <c r="T22" s="96"/>
      <c r="V22" s="193"/>
      <c r="W22" s="648"/>
      <c r="Y22" s="175"/>
      <c r="Z22" s="175"/>
      <c r="AA22" s="182"/>
      <c r="AC22" s="641" t="s">
        <v>404</v>
      </c>
      <c r="AD22" s="175"/>
      <c r="AE22" s="121" t="str">
        <f>ADDRESS(ROW('01'!$BO$14),COLUMN('01'!$BO$14))</f>
        <v>$BO$14</v>
      </c>
      <c r="AJ22" s="190" t="str">
        <f>" "&amp;'NTS ONLY_set_year'!$E$18</f>
        <v xml:space="preserve"> et</v>
      </c>
      <c r="AK22" s="190" t="str">
        <f>" "&amp;'NTS ONLY_set_year'!$E$40</f>
        <v xml:space="preserve"> Vérifier chaque entrée du km début et fin</v>
      </c>
      <c r="AL22" s="168"/>
      <c r="AN22" s="168"/>
      <c r="AQ22" s="183"/>
      <c r="AR22" s="168"/>
      <c r="AS22" s="168"/>
      <c r="AT22" s="168"/>
      <c r="AU22" s="168"/>
      <c r="AV22" s="187"/>
      <c r="AW22" s="157"/>
      <c r="AX22" s="157"/>
      <c r="AY22" s="157"/>
      <c r="AZ22" s="157"/>
      <c r="BA22" s="157"/>
      <c r="BB22" s="157"/>
      <c r="BC22" s="157"/>
      <c r="BD22" s="157"/>
      <c r="BE22" s="157"/>
      <c r="BF22" s="157"/>
      <c r="BG22" s="157"/>
      <c r="BR22" s="1"/>
    </row>
    <row r="23" spans="2:70" ht="21" customHeight="1">
      <c r="B23" s="658"/>
      <c r="C23" s="658"/>
      <c r="E23" s="717"/>
      <c r="F23" s="718"/>
      <c r="G23" s="653"/>
      <c r="H23" s="78"/>
      <c r="I23" s="725"/>
      <c r="J23" s="728"/>
      <c r="K23" s="725"/>
      <c r="L23" s="732"/>
      <c r="M23" s="632"/>
      <c r="N23" s="632"/>
      <c r="O23" s="632"/>
      <c r="P23" s="650"/>
      <c r="Q23" s="730"/>
      <c r="R23" s="595"/>
      <c r="S23" s="99"/>
      <c r="T23" s="96"/>
      <c r="V23" s="193" t="s">
        <v>405</v>
      </c>
      <c r="W23" s="648"/>
      <c r="X23" s="194"/>
      <c r="Y23" s="195" t="s">
        <v>406</v>
      </c>
      <c r="Z23" s="196"/>
      <c r="AA23" s="197"/>
      <c r="AB23" s="194"/>
      <c r="AC23" s="642"/>
      <c r="AD23" s="199" t="s">
        <v>407</v>
      </c>
      <c r="AE23" s="280" t="s">
        <v>408</v>
      </c>
      <c r="AL23" s="168"/>
      <c r="AN23" s="168"/>
      <c r="AQ23" s="183"/>
      <c r="AR23" s="168"/>
      <c r="AS23" s="168"/>
      <c r="AT23" s="168"/>
      <c r="AU23" s="168"/>
      <c r="AV23" s="187"/>
      <c r="AW23" s="157"/>
      <c r="AX23" s="157"/>
      <c r="AY23" s="157"/>
      <c r="AZ23" s="157"/>
      <c r="BA23" s="157"/>
      <c r="BB23" s="157"/>
      <c r="BC23" s="157"/>
      <c r="BD23" s="157"/>
      <c r="BE23" s="157"/>
      <c r="BF23" s="157"/>
      <c r="BG23" s="157"/>
      <c r="BR23" s="1"/>
    </row>
    <row r="24" spans="2:70" ht="11.1" customHeight="1">
      <c r="B24" s="1"/>
      <c r="C24" s="17"/>
      <c r="E24" s="476" t="str">
        <f ca="1">IF($W24=0,'NTS ONLY_set_year'!$E$95,IF(INDEX($AV$7:$BG$7,$X24)&gt;0,'NTS ONLY_set_year'!$E$37,'NTS ONLY_set_year'!$E$103))</f>
        <v>Pas de données</v>
      </c>
      <c r="F24" s="477"/>
      <c r="G24" s="106" t="str">
        <f ca="1">IF($W24=0,"- -",AD24)</f>
        <v>- -</v>
      </c>
      <c r="H24" s="104" t="str">
        <f>'NTS ONLY_set_year'!$E$152</f>
        <v>janvier</v>
      </c>
      <c r="I24" s="596">
        <f t="shared" ref="I24:I35" ca="1" si="3">INDEX($AX$38:$BI$38,$X24)</f>
        <v>0</v>
      </c>
      <c r="J24" s="597">
        <f t="shared" ref="J24:J35" ca="1" si="4">INDEX($AX$39:$BI$39,$X24)</f>
        <v>0</v>
      </c>
      <c r="K24" s="418" t="str">
        <f t="shared" ref="K24:K35" ca="1" si="5">IF($W24=0,"- -",INDEX($AX$40:$BI$40,$X24))</f>
        <v>- -</v>
      </c>
      <c r="L24" s="419" t="str">
        <f ca="1">IF($W24=0,"- -",INDEX($AV$41:$BG$41,$X24))</f>
        <v>- -</v>
      </c>
      <c r="M24" s="105" t="s">
        <v>409</v>
      </c>
      <c r="N24" s="106" t="str">
        <f ca="1">IF(AND(ISTEXT(I24),ISTEXT(J24)),"- -",IF(AND(ISNUMBER(I24),I24&gt;K24),$V$14,$V$10))</f>
        <v>ok</v>
      </c>
      <c r="O24" s="106" t="str">
        <f ca="1">IF(OR(AND(I24=0,J24=0),AND(ISTEXT(I24),ISTEXT(J24))),"- -",IF(J24&lt;L24,$V$14,$V$10))</f>
        <v>- -</v>
      </c>
      <c r="P24" s="107" t="str">
        <f ca="1">IF(AND(ISTEXT(I24),ISTEXT(J24)),"- -",IF(AE24&gt;0,$V$14,$V$10))</f>
        <v>ok</v>
      </c>
      <c r="Q24" s="107" t="str">
        <f ca="1">IF($W24=0,"- -",IF(INDEX($AV$32:$BG$32,$X24)=1,$V$14,$V$10))</f>
        <v>- -</v>
      </c>
      <c r="R24" s="108" t="str">
        <f>'NTS ONLY_set_year'!$E$152</f>
        <v>janvier</v>
      </c>
      <c r="S24" s="39"/>
      <c r="T24" s="96"/>
      <c r="V24" s="200">
        <f t="shared" ref="V24:V35" ca="1" si="6">INDEX($AV$9:$BG$9,$X24)</f>
        <v>0</v>
      </c>
      <c r="W24" s="201">
        <f ca="1">IF(INDEX($AV$8:$BG$8,$X24)=0,0,1)</f>
        <v>0</v>
      </c>
      <c r="X24" s="202">
        <v>1</v>
      </c>
      <c r="Y24" s="203" t="str">
        <f ca="1">MID(Z24,FIND("]",Z24,1)+1,99)</f>
        <v>01</v>
      </c>
      <c r="Z24" s="204" t="str">
        <f ca="1">CELL("filename",'01'!C7)</f>
        <v>https://pwccan.sharepoint.com/sites/CA-TAX-DMS-Tax-NonClient/Tax Marketing/FR-Utilisation d'une automobile/2026/[electronic-car-log-2025-fr.xlsx]01</v>
      </c>
      <c r="AA24" s="205"/>
      <c r="AB24" s="206"/>
      <c r="AC24" s="428" t="str">
        <f>IF(AND($V$7="Quebec",C24="x"),"X","OK")</f>
        <v>OK</v>
      </c>
      <c r="AD24" s="207">
        <f ca="1">INDEX($AV$31:$BG$31,$X24)</f>
        <v>0</v>
      </c>
      <c r="AE24" s="281">
        <f ca="1">INDIRECT(Y24&amp;"!"&amp;$AE$22)</f>
        <v>0</v>
      </c>
      <c r="AG24" s="208" t="s">
        <v>272</v>
      </c>
      <c r="AH24" s="209" t="str">
        <f t="shared" ref="AH24:AH35" ca="1" si="7">IF(OR(M24=$AJ$19,N24=$AJ$19,P24=$AJ$19),$AJ$21,"")</f>
        <v/>
      </c>
      <c r="AI24" s="210" t="str">
        <f t="shared" ref="AI24:AI35" ca="1" si="8">IF(N24=$AJ$20,$AK$21,"")</f>
        <v/>
      </c>
      <c r="AJ24" s="211" t="str">
        <f ca="1">IF(P24=$AJ$19,IF(LEN(AI24)&lt;4,"",$AJ$22)&amp;$AK$20,"")</f>
        <v/>
      </c>
      <c r="AK24" s="212" t="str">
        <f t="shared" ref="AK24:AK35" ca="1" si="9">IF(LEN(AJ24)&lt;4,"",". ")&amp;IF(Q24=$AJ$20,$AK$22,"")</f>
        <v/>
      </c>
      <c r="AL24" s="210" t="str">
        <f ca="1">IF(O24=$AJ$20,$AK$19,"")</f>
        <v/>
      </c>
      <c r="AM24" s="213" t="str">
        <f ca="1">TRIM($AH24&amp;$AI24&amp;$AJ24&amp;$AK24&amp;$AL24)</f>
        <v/>
      </c>
      <c r="AN24" s="214"/>
      <c r="AQ24" s="183"/>
      <c r="AR24" s="168"/>
      <c r="AS24" s="168"/>
      <c r="AT24" s="168"/>
      <c r="AU24" s="168"/>
      <c r="AV24" s="187"/>
      <c r="AW24" s="157"/>
      <c r="AX24" s="157"/>
      <c r="AY24" s="157"/>
      <c r="AZ24" s="157"/>
      <c r="BA24" s="157"/>
      <c r="BB24" s="157"/>
      <c r="BC24" s="157"/>
      <c r="BD24" s="157"/>
      <c r="BE24" s="157"/>
      <c r="BF24" s="157"/>
      <c r="BG24" s="157"/>
      <c r="BR24" s="1"/>
    </row>
    <row r="25" spans="2:70" ht="11.1" customHeight="1">
      <c r="B25" s="1"/>
      <c r="C25" s="17"/>
      <c r="E25" s="478" t="str">
        <f ca="1">IF($W25=0,'NTS ONLY_set_year'!$E$95,IF(INDEX($AV$7:$BG$7,$X25)&gt;0,'NTS ONLY_set_year'!$E$37,'NTS ONLY_set_year'!$E$103))</f>
        <v>Pas de données</v>
      </c>
      <c r="F25" s="479"/>
      <c r="G25" s="111" t="str">
        <f t="shared" ref="G25:G35" ca="1" si="10">IF($W25=0,"- -",AD25)</f>
        <v>- -</v>
      </c>
      <c r="H25" s="109" t="str">
        <f>'NTS ONLY_set_year'!$E$153</f>
        <v>février</v>
      </c>
      <c r="I25" s="596">
        <f t="shared" ca="1" si="3"/>
        <v>0</v>
      </c>
      <c r="J25" s="597">
        <f t="shared" ca="1" si="4"/>
        <v>0</v>
      </c>
      <c r="K25" s="418" t="str">
        <f t="shared" ca="1" si="5"/>
        <v>- -</v>
      </c>
      <c r="L25" s="419" t="str">
        <f t="shared" ref="L25:L35" ca="1" si="11">IF($W25=0,"- -",INDEX($AV$41:$BG$41,$X25))</f>
        <v>- -</v>
      </c>
      <c r="M25" s="110" t="str">
        <f ca="1">IF(AND(ISTEXT(I25),ISTEXT(J25)),"- -",IF(I25&lt;&gt;J24,$V$14,$V$10))</f>
        <v>ok</v>
      </c>
      <c r="N25" s="111" t="str">
        <f t="shared" ref="N25:N35" ca="1" si="12">IF(AND(ISTEXT(I25),ISTEXT(J25)),"- -",IF(AND(ISNUMBER(I25),I25&gt;K25),$V$14,$V$10))</f>
        <v>ok</v>
      </c>
      <c r="O25" s="111" t="str">
        <f t="shared" ref="O25:O35" ca="1" si="13">IF(OR(AND(I25=0,J25=0),AND(ISTEXT(I25),ISTEXT(J25))),"- -",IF(J25&lt;L25,$V$14,$V$10))</f>
        <v>- -</v>
      </c>
      <c r="P25" s="112" t="str">
        <f t="shared" ref="P25:P35" ca="1" si="14">IF(AND(ISTEXT(I25),ISTEXT(J25)),"- -",IF(AE25&gt;0,$V$14,$V$10))</f>
        <v>ok</v>
      </c>
      <c r="Q25" s="112" t="str">
        <f t="shared" ref="Q25:Q35" ca="1" si="15">IF($W25=0,"- -",IF(INDEX($AV$32:$BG$32,$X25)=1,$V$14,$V$10))</f>
        <v>- -</v>
      </c>
      <c r="R25" s="113" t="str">
        <f>'NTS ONLY_set_year'!$E$153</f>
        <v>février</v>
      </c>
      <c r="S25" s="39"/>
      <c r="T25" s="96"/>
      <c r="V25" s="200">
        <f t="shared" ca="1" si="6"/>
        <v>0</v>
      </c>
      <c r="W25" s="201">
        <f t="shared" ref="W25:W35" ca="1" si="16">IF(INDEX($AV$8:$BG$8,$X25)=0,0,1)</f>
        <v>0</v>
      </c>
      <c r="X25" s="215">
        <v>2</v>
      </c>
      <c r="Y25" s="216" t="str">
        <f ca="1">MID(Z25,FIND("]",Z25,1)+1,99)</f>
        <v>02</v>
      </c>
      <c r="Z25" s="217" t="str">
        <f ca="1">CELL("filename",'02'!B5)</f>
        <v>https://pwccan.sharepoint.com/sites/CA-TAX-DMS-Tax-NonClient/Tax Marketing/FR-Utilisation d'une automobile/2026/[electronic-car-log-2025-fr.xlsx]02</v>
      </c>
      <c r="AA25" s="197"/>
      <c r="AB25" s="194"/>
      <c r="AC25" s="191" t="str">
        <f t="shared" ref="AC25:AC35" si="17">IF(AND($V$7="Quebec",C25="x"),"X","OK")</f>
        <v>OK</v>
      </c>
      <c r="AD25" s="218">
        <f ca="1">INDEX($AV$31:$BG$31,$X25)</f>
        <v>0</v>
      </c>
      <c r="AE25" s="281">
        <f t="shared" ref="AE25:AE35" ca="1" si="18">INDIRECT(Y25&amp;"!"&amp;$AE$22)</f>
        <v>0</v>
      </c>
      <c r="AG25" s="219" t="s">
        <v>274</v>
      </c>
      <c r="AH25" s="220" t="str">
        <f t="shared" ca="1" si="7"/>
        <v/>
      </c>
      <c r="AI25" s="221" t="str">
        <f t="shared" ca="1" si="8"/>
        <v/>
      </c>
      <c r="AJ25" s="222" t="str">
        <f t="shared" ref="AJ25:AJ35" ca="1" si="19">IF(P25=$AJ$19,IF(LEN(AI25)&lt;4,"",$AJ$22)&amp;$AK$20,"")</f>
        <v/>
      </c>
      <c r="AK25" s="223" t="str">
        <f t="shared" ca="1" si="9"/>
        <v/>
      </c>
      <c r="AL25" s="221" t="str">
        <f t="shared" ref="AL25:AL35" ca="1" si="20">IF(O25=$AJ$20,$AK$19,"")</f>
        <v/>
      </c>
      <c r="AM25" s="224" t="str">
        <f t="shared" ref="AM25:AM35" ca="1" si="21">TRIM($AH25&amp;$AI25&amp;$AJ25&amp;$AK25&amp;$AL25)</f>
        <v/>
      </c>
      <c r="AN25" s="225"/>
      <c r="AQ25" s="183"/>
      <c r="AR25" s="168"/>
      <c r="AS25" s="168"/>
      <c r="AT25" s="168"/>
      <c r="AU25" s="168"/>
      <c r="AV25" s="187"/>
      <c r="AW25" s="157"/>
      <c r="AX25" s="157"/>
      <c r="AY25" s="157"/>
      <c r="AZ25" s="157"/>
      <c r="BA25" s="157"/>
      <c r="BB25" s="157"/>
      <c r="BC25" s="157"/>
      <c r="BD25" s="157"/>
      <c r="BE25" s="157"/>
      <c r="BF25" s="157"/>
      <c r="BG25" s="157"/>
      <c r="BR25" s="1"/>
    </row>
    <row r="26" spans="2:70" ht="11.1" customHeight="1">
      <c r="B26" s="1"/>
      <c r="C26" s="75"/>
      <c r="E26" s="478" t="str">
        <f ca="1">IF($W26=0,'NTS ONLY_set_year'!$E$95,IF(INDEX($AV$7:$BG$7,$X26)&gt;0,'NTS ONLY_set_year'!$E$37,'NTS ONLY_set_year'!$E$103))</f>
        <v>Pas de données</v>
      </c>
      <c r="F26" s="479"/>
      <c r="G26" s="111" t="str">
        <f t="shared" ca="1" si="10"/>
        <v>- -</v>
      </c>
      <c r="H26" s="109" t="str">
        <f>'NTS ONLY_set_year'!$E$154</f>
        <v>mars</v>
      </c>
      <c r="I26" s="598">
        <f t="shared" ca="1" si="3"/>
        <v>0</v>
      </c>
      <c r="J26" s="599">
        <f t="shared" ca="1" si="4"/>
        <v>0</v>
      </c>
      <c r="K26" s="420" t="str">
        <f t="shared" ca="1" si="5"/>
        <v>- -</v>
      </c>
      <c r="L26" s="421" t="str">
        <f t="shared" ca="1" si="11"/>
        <v>- -</v>
      </c>
      <c r="M26" s="110" t="str">
        <f t="shared" ref="M26:M35" ca="1" si="22">IF(AND(ISTEXT(I26),ISTEXT(J26)),"- -",IF(I26&lt;&gt;J25,$V$14,$V$10))</f>
        <v>ok</v>
      </c>
      <c r="N26" s="111" t="str">
        <f t="shared" ca="1" si="12"/>
        <v>ok</v>
      </c>
      <c r="O26" s="111" t="str">
        <f t="shared" ca="1" si="13"/>
        <v>- -</v>
      </c>
      <c r="P26" s="112" t="str">
        <f t="shared" ca="1" si="14"/>
        <v>ok</v>
      </c>
      <c r="Q26" s="112" t="str">
        <f t="shared" ca="1" si="15"/>
        <v>- -</v>
      </c>
      <c r="R26" s="113" t="str">
        <f>'NTS ONLY_set_year'!$E$154</f>
        <v>mars</v>
      </c>
      <c r="S26" s="39"/>
      <c r="T26" s="96"/>
      <c r="V26" s="200">
        <f t="shared" ca="1" si="6"/>
        <v>0</v>
      </c>
      <c r="W26" s="201">
        <f t="shared" ca="1" si="16"/>
        <v>0</v>
      </c>
      <c r="X26" s="226">
        <v>3</v>
      </c>
      <c r="Y26" s="227" t="str">
        <f ca="1">MID(Z26,FIND("]",Z26,1)+1,99)</f>
        <v>03</v>
      </c>
      <c r="Z26" s="228" t="str">
        <f ca="1">CELL("filename",'03'!B5)</f>
        <v>https://pwccan.sharepoint.com/sites/CA-TAX-DMS-Tax-NonClient/Tax Marketing/FR-Utilisation d'une automobile/2026/[electronic-car-log-2025-fr.xlsx]03</v>
      </c>
      <c r="AA26" s="229"/>
      <c r="AB26" s="229"/>
      <c r="AC26" s="429" t="str">
        <f t="shared" si="17"/>
        <v>OK</v>
      </c>
      <c r="AD26" s="230">
        <f t="shared" ref="AD26:AD35" ca="1" si="23">INDEX($AV$31:$BG$31,$X26)</f>
        <v>0</v>
      </c>
      <c r="AE26" s="281">
        <f t="shared" ca="1" si="18"/>
        <v>0</v>
      </c>
      <c r="AG26" s="219" t="s">
        <v>276</v>
      </c>
      <c r="AH26" s="220" t="str">
        <f t="shared" ca="1" si="7"/>
        <v/>
      </c>
      <c r="AI26" s="221" t="str">
        <f t="shared" ca="1" si="8"/>
        <v/>
      </c>
      <c r="AJ26" s="222" t="str">
        <f t="shared" ca="1" si="19"/>
        <v/>
      </c>
      <c r="AK26" s="223" t="str">
        <f t="shared" ca="1" si="9"/>
        <v/>
      </c>
      <c r="AL26" s="221" t="str">
        <f t="shared" ca="1" si="20"/>
        <v/>
      </c>
      <c r="AM26" s="224" t="str">
        <f t="shared" ca="1" si="21"/>
        <v/>
      </c>
      <c r="AN26" s="225"/>
      <c r="AQ26" s="183"/>
      <c r="AR26" s="168"/>
      <c r="AS26" s="168"/>
      <c r="AT26" s="168"/>
      <c r="AU26" s="168"/>
      <c r="AV26" s="187"/>
      <c r="AW26" s="157"/>
      <c r="AX26" s="157"/>
      <c r="AY26" s="157"/>
      <c r="AZ26" s="157"/>
      <c r="BA26" s="157"/>
      <c r="BB26" s="157"/>
      <c r="BC26" s="157"/>
      <c r="BD26" s="157"/>
      <c r="BE26" s="157"/>
      <c r="BF26" s="157"/>
      <c r="BG26" s="157"/>
      <c r="BR26" s="1"/>
    </row>
    <row r="27" spans="2:70" ht="11.1" customHeight="1">
      <c r="B27" s="1"/>
      <c r="C27" s="74"/>
      <c r="E27" s="476" t="str">
        <f ca="1">IF($W27=0,'NTS ONLY_set_year'!$E$95,IF(INDEX($AV$7:$BG$7,$X27)&gt;0,'NTS ONLY_set_year'!$E$37,'NTS ONLY_set_year'!$E$103))</f>
        <v>Pas de données</v>
      </c>
      <c r="F27" s="477"/>
      <c r="G27" s="106" t="str">
        <f t="shared" ca="1" si="10"/>
        <v>- -</v>
      </c>
      <c r="H27" s="104" t="str">
        <f>'NTS ONLY_set_year'!$E$155</f>
        <v>avril</v>
      </c>
      <c r="I27" s="600">
        <f t="shared" ca="1" si="3"/>
        <v>0</v>
      </c>
      <c r="J27" s="601">
        <f t="shared" ca="1" si="4"/>
        <v>0</v>
      </c>
      <c r="K27" s="416" t="str">
        <f t="shared" ca="1" si="5"/>
        <v>- -</v>
      </c>
      <c r="L27" s="417" t="str">
        <f t="shared" ca="1" si="11"/>
        <v>- -</v>
      </c>
      <c r="M27" s="105" t="str">
        <f t="shared" ca="1" si="22"/>
        <v>ok</v>
      </c>
      <c r="N27" s="106" t="str">
        <f t="shared" ca="1" si="12"/>
        <v>ok</v>
      </c>
      <c r="O27" s="106" t="str">
        <f t="shared" ca="1" si="13"/>
        <v>- -</v>
      </c>
      <c r="P27" s="107" t="str">
        <f t="shared" ca="1" si="14"/>
        <v>ok</v>
      </c>
      <c r="Q27" s="107" t="str">
        <f t="shared" ca="1" si="15"/>
        <v>- -</v>
      </c>
      <c r="R27" s="108" t="str">
        <f>'NTS ONLY_set_year'!$E$155</f>
        <v>avril</v>
      </c>
      <c r="S27" s="39"/>
      <c r="T27" s="96"/>
      <c r="V27" s="200">
        <f t="shared" ca="1" si="6"/>
        <v>0</v>
      </c>
      <c r="W27" s="201">
        <f t="shared" ca="1" si="16"/>
        <v>0</v>
      </c>
      <c r="X27" s="202">
        <v>4</v>
      </c>
      <c r="Y27" s="203" t="str">
        <f t="shared" ref="Y27:Y35" ca="1" si="24">MID(Z27,FIND("]",Z27,1)+1,99)</f>
        <v>04</v>
      </c>
      <c r="Z27" s="228" t="str">
        <f ca="1">CELL("filename",'04'!B7)</f>
        <v>https://pwccan.sharepoint.com/sites/CA-TAX-DMS-Tax-NonClient/Tax Marketing/FR-Utilisation d'une automobile/2026/[electronic-car-log-2025-fr.xlsx]04</v>
      </c>
      <c r="AA27" s="205"/>
      <c r="AB27" s="206"/>
      <c r="AC27" s="428" t="str">
        <f t="shared" si="17"/>
        <v>OK</v>
      </c>
      <c r="AD27" s="207">
        <f ca="1">INDEX($AV$31:$BG$31,$X27)</f>
        <v>0</v>
      </c>
      <c r="AE27" s="281">
        <f t="shared" ca="1" si="18"/>
        <v>0</v>
      </c>
      <c r="AG27" s="208" t="s">
        <v>278</v>
      </c>
      <c r="AH27" s="209" t="str">
        <f t="shared" ca="1" si="7"/>
        <v/>
      </c>
      <c r="AI27" s="210" t="str">
        <f t="shared" ca="1" si="8"/>
        <v/>
      </c>
      <c r="AJ27" s="211" t="str">
        <f t="shared" ca="1" si="19"/>
        <v/>
      </c>
      <c r="AK27" s="212" t="str">
        <f t="shared" ca="1" si="9"/>
        <v/>
      </c>
      <c r="AL27" s="210" t="str">
        <f t="shared" ca="1" si="20"/>
        <v/>
      </c>
      <c r="AM27" s="213" t="str">
        <f t="shared" ca="1" si="21"/>
        <v/>
      </c>
      <c r="AN27" s="214"/>
      <c r="AQ27" s="183"/>
      <c r="AR27" s="168"/>
      <c r="AS27" s="168"/>
      <c r="AT27" s="440" t="s">
        <v>410</v>
      </c>
      <c r="AU27" s="440"/>
      <c r="AV27" s="441" t="s">
        <v>409</v>
      </c>
      <c r="AW27" s="441">
        <f ca="1">AV37</f>
        <v>0</v>
      </c>
      <c r="AX27" s="441">
        <f t="shared" ref="AX27:BG27" ca="1" si="25">AW37</f>
        <v>0</v>
      </c>
      <c r="AY27" s="441">
        <f t="shared" ca="1" si="25"/>
        <v>0</v>
      </c>
      <c r="AZ27" s="441">
        <f t="shared" ca="1" si="25"/>
        <v>0</v>
      </c>
      <c r="BA27" s="441">
        <f t="shared" ca="1" si="25"/>
        <v>0</v>
      </c>
      <c r="BB27" s="441">
        <f t="shared" ca="1" si="25"/>
        <v>0</v>
      </c>
      <c r="BC27" s="441">
        <f t="shared" ca="1" si="25"/>
        <v>0</v>
      </c>
      <c r="BD27" s="441">
        <f t="shared" ca="1" si="25"/>
        <v>0</v>
      </c>
      <c r="BE27" s="441">
        <f t="shared" ca="1" si="25"/>
        <v>0</v>
      </c>
      <c r="BF27" s="441">
        <f t="shared" ca="1" si="25"/>
        <v>0</v>
      </c>
      <c r="BG27" s="441">
        <f t="shared" ca="1" si="25"/>
        <v>0</v>
      </c>
      <c r="BH27"/>
      <c r="BR27" s="1"/>
    </row>
    <row r="28" spans="2:70" ht="11.1" customHeight="1">
      <c r="B28" s="1"/>
      <c r="C28" s="17"/>
      <c r="E28" s="478" t="str">
        <f ca="1">IF($W28=0,'NTS ONLY_set_year'!$E$95,IF(INDEX($AV$7:$BG$7,$X28)&gt;0,'NTS ONLY_set_year'!$E$37,'NTS ONLY_set_year'!$E$103))</f>
        <v>Pas de données</v>
      </c>
      <c r="F28" s="479"/>
      <c r="G28" s="111" t="str">
        <f t="shared" ca="1" si="10"/>
        <v>- -</v>
      </c>
      <c r="H28" s="109" t="str">
        <f>'NTS ONLY_set_year'!$E$156</f>
        <v>mai</v>
      </c>
      <c r="I28" s="596">
        <f t="shared" ca="1" si="3"/>
        <v>0</v>
      </c>
      <c r="J28" s="597">
        <f t="shared" ca="1" si="4"/>
        <v>0</v>
      </c>
      <c r="K28" s="418" t="str">
        <f t="shared" ca="1" si="5"/>
        <v>- -</v>
      </c>
      <c r="L28" s="419" t="str">
        <f t="shared" ca="1" si="11"/>
        <v>- -</v>
      </c>
      <c r="M28" s="110" t="str">
        <f t="shared" ca="1" si="22"/>
        <v>ok</v>
      </c>
      <c r="N28" s="111" t="str">
        <f t="shared" ca="1" si="12"/>
        <v>ok</v>
      </c>
      <c r="O28" s="111" t="str">
        <f t="shared" ca="1" si="13"/>
        <v>- -</v>
      </c>
      <c r="P28" s="112" t="str">
        <f t="shared" ca="1" si="14"/>
        <v>ok</v>
      </c>
      <c r="Q28" s="112" t="str">
        <f t="shared" ca="1" si="15"/>
        <v>- -</v>
      </c>
      <c r="R28" s="113" t="str">
        <f>'NTS ONLY_set_year'!$E$156</f>
        <v>mai</v>
      </c>
      <c r="S28" s="39"/>
      <c r="T28" s="96"/>
      <c r="V28" s="200">
        <f t="shared" ca="1" si="6"/>
        <v>0</v>
      </c>
      <c r="W28" s="201">
        <f t="shared" ca="1" si="16"/>
        <v>0</v>
      </c>
      <c r="X28" s="215">
        <v>5</v>
      </c>
      <c r="Y28" s="216" t="str">
        <f t="shared" ca="1" si="24"/>
        <v>05</v>
      </c>
      <c r="Z28" s="217" t="str">
        <f ca="1">CELL("filename",'05'!H7)</f>
        <v>https://pwccan.sharepoint.com/sites/CA-TAX-DMS-Tax-NonClient/Tax Marketing/FR-Utilisation d'une automobile/2026/[electronic-car-log-2025-fr.xlsx]05</v>
      </c>
      <c r="AA28" s="197"/>
      <c r="AB28" s="194"/>
      <c r="AC28" s="191" t="str">
        <f t="shared" si="17"/>
        <v>OK</v>
      </c>
      <c r="AD28" s="218">
        <f t="shared" ca="1" si="23"/>
        <v>0</v>
      </c>
      <c r="AE28" s="281">
        <f t="shared" ca="1" si="18"/>
        <v>0</v>
      </c>
      <c r="AG28" s="219" t="s">
        <v>280</v>
      </c>
      <c r="AH28" s="220" t="str">
        <f t="shared" ca="1" si="7"/>
        <v/>
      </c>
      <c r="AI28" s="221" t="str">
        <f t="shared" ca="1" si="8"/>
        <v/>
      </c>
      <c r="AJ28" s="222" t="str">
        <f t="shared" ca="1" si="19"/>
        <v/>
      </c>
      <c r="AK28" s="223" t="str">
        <f t="shared" ca="1" si="9"/>
        <v/>
      </c>
      <c r="AL28" s="221" t="str">
        <f t="shared" ca="1" si="20"/>
        <v/>
      </c>
      <c r="AM28" s="224" t="str">
        <f t="shared" ca="1" si="21"/>
        <v/>
      </c>
      <c r="AN28" s="225"/>
      <c r="AQ28" s="183"/>
      <c r="AR28" s="168"/>
      <c r="AS28" s="168"/>
      <c r="AT28" s="168"/>
      <c r="AU28" s="168"/>
      <c r="AV28" s="187"/>
      <c r="AW28" s="157"/>
      <c r="AX28" s="157"/>
      <c r="AY28" s="157"/>
      <c r="AZ28" s="157"/>
      <c r="BA28" s="157"/>
      <c r="BB28" s="157"/>
      <c r="BC28" s="157"/>
      <c r="BD28" s="157"/>
      <c r="BE28" s="157"/>
      <c r="BF28" s="157"/>
      <c r="BG28" s="157"/>
      <c r="BR28" s="1"/>
    </row>
    <row r="29" spans="2:70" ht="11.1" customHeight="1">
      <c r="B29" s="1"/>
      <c r="C29" s="75"/>
      <c r="E29" s="480" t="str">
        <f ca="1">IF($W29=0,'NTS ONLY_set_year'!$E$95,IF(INDEX($AV$7:$BG$7,$X29)&gt;0,'NTS ONLY_set_year'!$E$37,'NTS ONLY_set_year'!$E$103))</f>
        <v>Pas de données</v>
      </c>
      <c r="F29" s="481"/>
      <c r="G29" s="117" t="str">
        <f t="shared" ca="1" si="10"/>
        <v>- -</v>
      </c>
      <c r="H29" s="115" t="str">
        <f>'NTS ONLY_set_year'!$E$157</f>
        <v>juin</v>
      </c>
      <c r="I29" s="598">
        <f t="shared" ca="1" si="3"/>
        <v>0</v>
      </c>
      <c r="J29" s="599">
        <f t="shared" ca="1" si="4"/>
        <v>0</v>
      </c>
      <c r="K29" s="420" t="str">
        <f t="shared" ca="1" si="5"/>
        <v>- -</v>
      </c>
      <c r="L29" s="421" t="str">
        <f t="shared" ca="1" si="11"/>
        <v>- -</v>
      </c>
      <c r="M29" s="116" t="str">
        <f t="shared" ca="1" si="22"/>
        <v>ok</v>
      </c>
      <c r="N29" s="117" t="str">
        <f t="shared" ca="1" si="12"/>
        <v>ok</v>
      </c>
      <c r="O29" s="117" t="str">
        <f t="shared" ca="1" si="13"/>
        <v>- -</v>
      </c>
      <c r="P29" s="118" t="str">
        <f t="shared" ca="1" si="14"/>
        <v>ok</v>
      </c>
      <c r="Q29" s="118" t="str">
        <f t="shared" ca="1" si="15"/>
        <v>- -</v>
      </c>
      <c r="R29" s="114" t="str">
        <f>'NTS ONLY_set_year'!$E$157</f>
        <v>juin</v>
      </c>
      <c r="S29" s="39"/>
      <c r="T29" s="96"/>
      <c r="V29" s="200">
        <f t="shared" ca="1" si="6"/>
        <v>0</v>
      </c>
      <c r="W29" s="201">
        <f t="shared" ca="1" si="16"/>
        <v>0</v>
      </c>
      <c r="X29" s="226">
        <v>6</v>
      </c>
      <c r="Y29" s="227" t="str">
        <f t="shared" ca="1" si="24"/>
        <v>06</v>
      </c>
      <c r="Z29" s="228" t="str">
        <f ca="1">CELL("filename",'06'!H8)</f>
        <v>https://pwccan.sharepoint.com/sites/CA-TAX-DMS-Tax-NonClient/Tax Marketing/FR-Utilisation d'une automobile/2026/[electronic-car-log-2025-fr.xlsx]06</v>
      </c>
      <c r="AA29" s="231"/>
      <c r="AB29" s="229"/>
      <c r="AC29" s="429" t="str">
        <f t="shared" si="17"/>
        <v>OK</v>
      </c>
      <c r="AD29" s="230">
        <f t="shared" ca="1" si="23"/>
        <v>0</v>
      </c>
      <c r="AE29" s="281">
        <f t="shared" ca="1" si="18"/>
        <v>0</v>
      </c>
      <c r="AG29" s="232" t="s">
        <v>282</v>
      </c>
      <c r="AH29" s="233" t="str">
        <f t="shared" ca="1" si="7"/>
        <v/>
      </c>
      <c r="AI29" s="234" t="str">
        <f t="shared" ca="1" si="8"/>
        <v/>
      </c>
      <c r="AJ29" s="235" t="str">
        <f t="shared" ca="1" si="19"/>
        <v/>
      </c>
      <c r="AK29" s="236" t="str">
        <f t="shared" ca="1" si="9"/>
        <v/>
      </c>
      <c r="AL29" s="234" t="str">
        <f t="shared" ca="1" si="20"/>
        <v/>
      </c>
      <c r="AM29" s="237" t="str">
        <f t="shared" ca="1" si="21"/>
        <v/>
      </c>
      <c r="AN29" s="238"/>
      <c r="AQ29" s="183"/>
      <c r="AR29" s="168"/>
      <c r="AS29" s="168"/>
      <c r="AT29" s="168"/>
      <c r="AU29" s="168"/>
      <c r="AV29" s="187"/>
      <c r="AW29" s="157"/>
      <c r="AX29" s="157"/>
      <c r="AY29" s="157"/>
      <c r="AZ29" s="157"/>
      <c r="BA29" s="157"/>
      <c r="BB29" s="157"/>
      <c r="BC29" s="157"/>
      <c r="BD29" s="157"/>
      <c r="BE29" s="157"/>
      <c r="BF29" s="157"/>
      <c r="BG29" s="157"/>
      <c r="BR29" s="1"/>
    </row>
    <row r="30" spans="2:70" ht="11.1" customHeight="1">
      <c r="B30" s="1"/>
      <c r="C30" s="74"/>
      <c r="E30" s="476" t="str">
        <f ca="1">IF($W30=0,'NTS ONLY_set_year'!$E$95,IF(INDEX($AV$7:$BG$7,$X30)&gt;0,'NTS ONLY_set_year'!$E$37,'NTS ONLY_set_year'!$E$103))</f>
        <v>Pas de données</v>
      </c>
      <c r="F30" s="477"/>
      <c r="G30" s="106" t="str">
        <f t="shared" ca="1" si="10"/>
        <v>- -</v>
      </c>
      <c r="H30" s="104" t="str">
        <f>'NTS ONLY_set_year'!$E$158</f>
        <v>juillet</v>
      </c>
      <c r="I30" s="600">
        <f t="shared" ca="1" si="3"/>
        <v>0</v>
      </c>
      <c r="J30" s="601">
        <f t="shared" ca="1" si="4"/>
        <v>0</v>
      </c>
      <c r="K30" s="416" t="str">
        <f t="shared" ca="1" si="5"/>
        <v>- -</v>
      </c>
      <c r="L30" s="417" t="str">
        <f t="shared" ca="1" si="11"/>
        <v>- -</v>
      </c>
      <c r="M30" s="105" t="str">
        <f t="shared" ca="1" si="22"/>
        <v>ok</v>
      </c>
      <c r="N30" s="106" t="str">
        <f t="shared" ca="1" si="12"/>
        <v>ok</v>
      </c>
      <c r="O30" s="106" t="str">
        <f t="shared" ca="1" si="13"/>
        <v>- -</v>
      </c>
      <c r="P30" s="107" t="str">
        <f t="shared" ca="1" si="14"/>
        <v>ok</v>
      </c>
      <c r="Q30" s="107" t="str">
        <f t="shared" ca="1" si="15"/>
        <v>- -</v>
      </c>
      <c r="R30" s="108" t="str">
        <f>'NTS ONLY_set_year'!$E$158</f>
        <v>juillet</v>
      </c>
      <c r="S30" s="39"/>
      <c r="T30" s="96"/>
      <c r="V30" s="200">
        <f t="shared" ca="1" si="6"/>
        <v>0</v>
      </c>
      <c r="W30" s="201">
        <f t="shared" ca="1" si="16"/>
        <v>0</v>
      </c>
      <c r="X30" s="215">
        <v>7</v>
      </c>
      <c r="Y30" s="216" t="str">
        <f t="shared" ca="1" si="24"/>
        <v>07</v>
      </c>
      <c r="Z30" s="228" t="str">
        <f ca="1">CELL("filename",'07'!B10)</f>
        <v>https://pwccan.sharepoint.com/sites/CA-TAX-DMS-Tax-NonClient/Tax Marketing/FR-Utilisation d'une automobile/2026/[electronic-car-log-2025-fr.xlsx]07</v>
      </c>
      <c r="AA30" s="197"/>
      <c r="AB30" s="194"/>
      <c r="AC30" s="191" t="str">
        <f t="shared" si="17"/>
        <v>OK</v>
      </c>
      <c r="AD30" s="207">
        <f t="shared" ca="1" si="23"/>
        <v>0</v>
      </c>
      <c r="AE30" s="281">
        <f t="shared" ca="1" si="18"/>
        <v>0</v>
      </c>
      <c r="AG30" s="208" t="s">
        <v>284</v>
      </c>
      <c r="AH30" s="209" t="str">
        <f t="shared" ca="1" si="7"/>
        <v/>
      </c>
      <c r="AI30" s="210" t="str">
        <f t="shared" ca="1" si="8"/>
        <v/>
      </c>
      <c r="AJ30" s="211" t="str">
        <f t="shared" ca="1" si="19"/>
        <v/>
      </c>
      <c r="AK30" s="212" t="str">
        <f t="shared" ca="1" si="9"/>
        <v/>
      </c>
      <c r="AL30" s="210" t="str">
        <f t="shared" ca="1" si="20"/>
        <v/>
      </c>
      <c r="AM30" s="213" t="str">
        <f t="shared" ca="1" si="21"/>
        <v/>
      </c>
      <c r="AN30" s="214"/>
      <c r="AQ30" s="183"/>
      <c r="AR30" s="168"/>
      <c r="AS30" s="157"/>
      <c r="AT30" s="157"/>
      <c r="AU30" s="239"/>
      <c r="AV30" s="240"/>
      <c r="AW30" s="240"/>
      <c r="AX30" s="240"/>
      <c r="AY30" s="240"/>
      <c r="AZ30" s="240"/>
      <c r="BA30" s="240"/>
      <c r="BB30" s="240"/>
      <c r="BC30" s="240"/>
      <c r="BD30" s="240"/>
      <c r="BE30" s="240"/>
      <c r="BF30" s="240"/>
      <c r="BG30" s="240"/>
      <c r="BR30" s="1"/>
    </row>
    <row r="31" spans="2:70" ht="11.1" customHeight="1">
      <c r="B31" s="1"/>
      <c r="C31" s="17"/>
      <c r="E31" s="478" t="str">
        <f ca="1">IF($W31=0,'NTS ONLY_set_year'!$E$95,IF(INDEX($AV$7:$BG$7,$X31)&gt;0,'NTS ONLY_set_year'!$E$37,'NTS ONLY_set_year'!$E$103))</f>
        <v>Pas de données</v>
      </c>
      <c r="F31" s="479"/>
      <c r="G31" s="111" t="str">
        <f t="shared" ca="1" si="10"/>
        <v>- -</v>
      </c>
      <c r="H31" s="109" t="str">
        <f>'NTS ONLY_set_year'!$E$159</f>
        <v>août</v>
      </c>
      <c r="I31" s="596">
        <f t="shared" ca="1" si="3"/>
        <v>0</v>
      </c>
      <c r="J31" s="597">
        <f t="shared" ca="1" si="4"/>
        <v>0</v>
      </c>
      <c r="K31" s="418" t="str">
        <f t="shared" ca="1" si="5"/>
        <v>- -</v>
      </c>
      <c r="L31" s="419" t="str">
        <f t="shared" ca="1" si="11"/>
        <v>- -</v>
      </c>
      <c r="M31" s="110" t="str">
        <f t="shared" ca="1" si="22"/>
        <v>ok</v>
      </c>
      <c r="N31" s="111" t="str">
        <f t="shared" ca="1" si="12"/>
        <v>ok</v>
      </c>
      <c r="O31" s="111" t="str">
        <f t="shared" ca="1" si="13"/>
        <v>- -</v>
      </c>
      <c r="P31" s="112" t="str">
        <f t="shared" ca="1" si="14"/>
        <v>ok</v>
      </c>
      <c r="Q31" s="112" t="str">
        <f t="shared" ca="1" si="15"/>
        <v>- -</v>
      </c>
      <c r="R31" s="113" t="str">
        <f>'NTS ONLY_set_year'!$E$159</f>
        <v>août</v>
      </c>
      <c r="S31" s="39"/>
      <c r="T31" s="96"/>
      <c r="V31" s="200">
        <f t="shared" ca="1" si="6"/>
        <v>0</v>
      </c>
      <c r="W31" s="201">
        <f t="shared" ca="1" si="16"/>
        <v>0</v>
      </c>
      <c r="X31" s="215">
        <v>8</v>
      </c>
      <c r="Y31" s="216" t="str">
        <f t="shared" ca="1" si="24"/>
        <v>08</v>
      </c>
      <c r="Z31" s="228" t="str">
        <f ca="1">CELL("filename",'08'!U4)</f>
        <v>https://pwccan.sharepoint.com/sites/CA-TAX-DMS-Tax-NonClient/Tax Marketing/FR-Utilisation d'une automobile/2026/[electronic-car-log-2025-fr.xlsx]08</v>
      </c>
      <c r="AA31" s="197"/>
      <c r="AB31" s="194"/>
      <c r="AC31" s="191" t="str">
        <f t="shared" si="17"/>
        <v>OK</v>
      </c>
      <c r="AD31" s="218">
        <f t="shared" ca="1" si="23"/>
        <v>0</v>
      </c>
      <c r="AE31" s="281">
        <f t="shared" ca="1" si="18"/>
        <v>0</v>
      </c>
      <c r="AG31" s="219" t="s">
        <v>286</v>
      </c>
      <c r="AH31" s="220" t="str">
        <f t="shared" ca="1" si="7"/>
        <v/>
      </c>
      <c r="AI31" s="221" t="str">
        <f t="shared" ca="1" si="8"/>
        <v/>
      </c>
      <c r="AJ31" s="222" t="str">
        <f t="shared" ca="1" si="19"/>
        <v/>
      </c>
      <c r="AK31" s="223" t="str">
        <f t="shared" ca="1" si="9"/>
        <v/>
      </c>
      <c r="AL31" s="221" t="str">
        <f t="shared" ca="1" si="20"/>
        <v/>
      </c>
      <c r="AM31" s="224" t="str">
        <f t="shared" ca="1" si="21"/>
        <v/>
      </c>
      <c r="AN31" s="225"/>
      <c r="AQ31" s="183"/>
      <c r="AR31" s="168"/>
      <c r="AS31" s="157"/>
      <c r="AT31" s="157"/>
      <c r="AU31" s="239" t="s">
        <v>407</v>
      </c>
      <c r="AV31" s="159">
        <f t="shared" ref="AV31:BG32" ca="1" si="26">INDIRECT(AV$2&amp;$BH31)</f>
        <v>0</v>
      </c>
      <c r="AW31" s="159">
        <f t="shared" ca="1" si="26"/>
        <v>0</v>
      </c>
      <c r="AX31" s="159">
        <f t="shared" ca="1" si="26"/>
        <v>0</v>
      </c>
      <c r="AY31" s="159">
        <f t="shared" ca="1" si="26"/>
        <v>0</v>
      </c>
      <c r="AZ31" s="159">
        <f t="shared" ca="1" si="26"/>
        <v>0</v>
      </c>
      <c r="BA31" s="159">
        <f t="shared" ca="1" si="26"/>
        <v>0</v>
      </c>
      <c r="BB31" s="159">
        <f t="shared" ca="1" si="26"/>
        <v>0</v>
      </c>
      <c r="BC31" s="159">
        <f t="shared" ca="1" si="26"/>
        <v>0</v>
      </c>
      <c r="BD31" s="159">
        <f t="shared" ca="1" si="26"/>
        <v>0</v>
      </c>
      <c r="BE31" s="159">
        <f t="shared" ca="1" si="26"/>
        <v>0</v>
      </c>
      <c r="BF31" s="159">
        <f t="shared" ca="1" si="26"/>
        <v>0</v>
      </c>
      <c r="BG31" s="159">
        <f ca="1">INDIRECT(BG$2&amp;$BH31)</f>
        <v>0</v>
      </c>
      <c r="BH31" s="121" t="str">
        <f>ADDRESS(ROW('01'!BM16),COLUMN('01'!BM16))</f>
        <v>$BM$16</v>
      </c>
      <c r="BR31" s="1"/>
    </row>
    <row r="32" spans="2:70" ht="11.1" customHeight="1">
      <c r="B32" s="1"/>
      <c r="C32" s="75"/>
      <c r="E32" s="480" t="str">
        <f ca="1">IF($W32=0,'NTS ONLY_set_year'!$E$95,IF(INDEX($AV$7:$BG$7,$X32)&gt;0,'NTS ONLY_set_year'!$E$37,'NTS ONLY_set_year'!$E$103))</f>
        <v>Pas de données</v>
      </c>
      <c r="F32" s="481"/>
      <c r="G32" s="117" t="str">
        <f t="shared" ca="1" si="10"/>
        <v>- -</v>
      </c>
      <c r="H32" s="115" t="str">
        <f>'NTS ONLY_set_year'!$E$160</f>
        <v>septembre</v>
      </c>
      <c r="I32" s="598">
        <f t="shared" ca="1" si="3"/>
        <v>0</v>
      </c>
      <c r="J32" s="599">
        <f t="shared" ca="1" si="4"/>
        <v>0</v>
      </c>
      <c r="K32" s="420" t="str">
        <f t="shared" ca="1" si="5"/>
        <v>- -</v>
      </c>
      <c r="L32" s="421" t="str">
        <f t="shared" ca="1" si="11"/>
        <v>- -</v>
      </c>
      <c r="M32" s="116" t="str">
        <f t="shared" ca="1" si="22"/>
        <v>ok</v>
      </c>
      <c r="N32" s="117" t="str">
        <f t="shared" ca="1" si="12"/>
        <v>ok</v>
      </c>
      <c r="O32" s="117" t="str">
        <f t="shared" ca="1" si="13"/>
        <v>- -</v>
      </c>
      <c r="P32" s="118" t="str">
        <f t="shared" ca="1" si="14"/>
        <v>ok</v>
      </c>
      <c r="Q32" s="118" t="str">
        <f t="shared" ca="1" si="15"/>
        <v>- -</v>
      </c>
      <c r="R32" s="114" t="str">
        <f>'NTS ONLY_set_year'!$E$160</f>
        <v>septembre</v>
      </c>
      <c r="S32" s="39"/>
      <c r="T32" s="96"/>
      <c r="V32" s="200">
        <f t="shared" ca="1" si="6"/>
        <v>0</v>
      </c>
      <c r="W32" s="201">
        <f t="shared" ca="1" si="16"/>
        <v>0</v>
      </c>
      <c r="X32" s="215">
        <v>9</v>
      </c>
      <c r="Y32" s="216" t="str">
        <f t="shared" ca="1" si="24"/>
        <v>09</v>
      </c>
      <c r="Z32" s="204" t="str">
        <f ca="1">CELL("filename",'09'!N12)</f>
        <v>https://pwccan.sharepoint.com/sites/CA-TAX-DMS-Tax-NonClient/Tax Marketing/FR-Utilisation d'une automobile/2026/[electronic-car-log-2025-fr.xlsx]09</v>
      </c>
      <c r="AA32" s="197"/>
      <c r="AB32" s="194"/>
      <c r="AC32" s="191" t="str">
        <f t="shared" si="17"/>
        <v>OK</v>
      </c>
      <c r="AD32" s="230">
        <f t="shared" ca="1" si="23"/>
        <v>0</v>
      </c>
      <c r="AE32" s="281">
        <f t="shared" ca="1" si="18"/>
        <v>0</v>
      </c>
      <c r="AG32" s="232" t="s">
        <v>288</v>
      </c>
      <c r="AH32" s="233" t="str">
        <f t="shared" ca="1" si="7"/>
        <v/>
      </c>
      <c r="AI32" s="234" t="str">
        <f t="shared" ca="1" si="8"/>
        <v/>
      </c>
      <c r="AJ32" s="235" t="str">
        <f t="shared" ca="1" si="19"/>
        <v/>
      </c>
      <c r="AK32" s="236" t="str">
        <f t="shared" ca="1" si="9"/>
        <v/>
      </c>
      <c r="AL32" s="234" t="str">
        <f t="shared" ca="1" si="20"/>
        <v/>
      </c>
      <c r="AM32" s="237" t="str">
        <f t="shared" ca="1" si="21"/>
        <v/>
      </c>
      <c r="AN32" s="238"/>
      <c r="AQ32" s="183"/>
      <c r="AR32" s="168"/>
      <c r="AS32" s="157"/>
      <c r="AT32" s="157"/>
      <c r="AU32" s="239" t="s">
        <v>411</v>
      </c>
      <c r="AV32" s="159">
        <f ca="1">INDIRECT(AV$2&amp;$BH32)</f>
        <v>0</v>
      </c>
      <c r="AW32" s="159">
        <f t="shared" ca="1" si="26"/>
        <v>0</v>
      </c>
      <c r="AX32" s="159">
        <f t="shared" ca="1" si="26"/>
        <v>0</v>
      </c>
      <c r="AY32" s="159">
        <f t="shared" ca="1" si="26"/>
        <v>0</v>
      </c>
      <c r="AZ32" s="159">
        <f t="shared" ca="1" si="26"/>
        <v>0</v>
      </c>
      <c r="BA32" s="159">
        <f t="shared" ca="1" si="26"/>
        <v>0</v>
      </c>
      <c r="BB32" s="159">
        <f t="shared" ca="1" si="26"/>
        <v>0</v>
      </c>
      <c r="BC32" s="159">
        <f t="shared" ca="1" si="26"/>
        <v>0</v>
      </c>
      <c r="BD32" s="159">
        <f t="shared" ca="1" si="26"/>
        <v>0</v>
      </c>
      <c r="BE32" s="159">
        <f t="shared" ca="1" si="26"/>
        <v>0</v>
      </c>
      <c r="BF32" s="159">
        <f t="shared" ca="1" si="26"/>
        <v>0</v>
      </c>
      <c r="BG32" s="159">
        <f t="shared" ca="1" si="26"/>
        <v>0</v>
      </c>
      <c r="BH32" s="121" t="str">
        <f>ADDRESS(ROW('01'!AU10),COLUMN('01'!AU10))</f>
        <v>$AU$10</v>
      </c>
      <c r="BR32" s="1"/>
    </row>
    <row r="33" spans="2:255" ht="11.1" customHeight="1">
      <c r="B33" s="1"/>
      <c r="C33" s="74"/>
      <c r="E33" s="476" t="str">
        <f ca="1">IF($W33=0,'NTS ONLY_set_year'!$E$95,IF(INDEX($AV$7:$BG$7,$X33)&gt;0,'NTS ONLY_set_year'!$E$37,'NTS ONLY_set_year'!$E$103))</f>
        <v>Pas de données</v>
      </c>
      <c r="F33" s="477"/>
      <c r="G33" s="106" t="str">
        <f t="shared" ca="1" si="10"/>
        <v>- -</v>
      </c>
      <c r="H33" s="104" t="str">
        <f>'NTS ONLY_set_year'!$E$161</f>
        <v>octobre</v>
      </c>
      <c r="I33" s="600">
        <f t="shared" ca="1" si="3"/>
        <v>0</v>
      </c>
      <c r="J33" s="601">
        <f t="shared" ca="1" si="4"/>
        <v>0</v>
      </c>
      <c r="K33" s="416" t="str">
        <f t="shared" ca="1" si="5"/>
        <v>- -</v>
      </c>
      <c r="L33" s="417" t="str">
        <f t="shared" ca="1" si="11"/>
        <v>- -</v>
      </c>
      <c r="M33" s="110" t="str">
        <f t="shared" ca="1" si="22"/>
        <v>ok</v>
      </c>
      <c r="N33" s="106" t="str">
        <f t="shared" ca="1" si="12"/>
        <v>ok</v>
      </c>
      <c r="O33" s="106" t="str">
        <f t="shared" ca="1" si="13"/>
        <v>- -</v>
      </c>
      <c r="P33" s="107" t="str">
        <f t="shared" ca="1" si="14"/>
        <v>ok</v>
      </c>
      <c r="Q33" s="107" t="str">
        <f t="shared" ca="1" si="15"/>
        <v>- -</v>
      </c>
      <c r="R33" s="108" t="str">
        <f>'NTS ONLY_set_year'!$E$161</f>
        <v>octobre</v>
      </c>
      <c r="S33" s="39"/>
      <c r="T33" s="96"/>
      <c r="V33" s="200">
        <f t="shared" ca="1" si="6"/>
        <v>0</v>
      </c>
      <c r="W33" s="201">
        <f t="shared" ca="1" si="16"/>
        <v>0</v>
      </c>
      <c r="X33" s="202">
        <v>10</v>
      </c>
      <c r="Y33" s="203" t="str">
        <f t="shared" ca="1" si="24"/>
        <v>10</v>
      </c>
      <c r="Z33" s="228" t="str">
        <f ca="1">CELL("filename",'10'!N14)</f>
        <v>https://pwccan.sharepoint.com/sites/CA-TAX-DMS-Tax-NonClient/Tax Marketing/FR-Utilisation d'une automobile/2026/[electronic-car-log-2025-fr.xlsx]10</v>
      </c>
      <c r="AA33" s="205"/>
      <c r="AB33" s="206"/>
      <c r="AC33" s="428" t="str">
        <f t="shared" si="17"/>
        <v>OK</v>
      </c>
      <c r="AD33" s="207">
        <f t="shared" ca="1" si="23"/>
        <v>0</v>
      </c>
      <c r="AE33" s="281">
        <f t="shared" ca="1" si="18"/>
        <v>0</v>
      </c>
      <c r="AG33" s="219" t="s">
        <v>290</v>
      </c>
      <c r="AH33" s="220" t="str">
        <f t="shared" ca="1" si="7"/>
        <v/>
      </c>
      <c r="AI33" s="221" t="str">
        <f t="shared" ca="1" si="8"/>
        <v/>
      </c>
      <c r="AJ33" s="222" t="str">
        <f t="shared" ca="1" si="19"/>
        <v/>
      </c>
      <c r="AK33" s="223" t="str">
        <f t="shared" ca="1" si="9"/>
        <v/>
      </c>
      <c r="AL33" s="221" t="str">
        <f t="shared" ca="1" si="20"/>
        <v/>
      </c>
      <c r="AM33" s="224" t="str">
        <f t="shared" ca="1" si="21"/>
        <v/>
      </c>
      <c r="AN33" s="225"/>
      <c r="AQ33" s="183"/>
      <c r="AR33" s="168"/>
      <c r="AS33" s="157"/>
      <c r="AT33" s="157"/>
      <c r="AU33" s="239" t="s">
        <v>412</v>
      </c>
      <c r="AV33" s="159">
        <f t="shared" ref="AV33:BF33" ca="1" si="27">INDIRECT(AV$2&amp;$BH33)</f>
        <v>0</v>
      </c>
      <c r="AW33" s="159">
        <f t="shared" ca="1" si="27"/>
        <v>0</v>
      </c>
      <c r="AX33" s="159">
        <f t="shared" ca="1" si="27"/>
        <v>0</v>
      </c>
      <c r="AY33" s="159">
        <f t="shared" ca="1" si="27"/>
        <v>0</v>
      </c>
      <c r="AZ33" s="159">
        <f t="shared" ca="1" si="27"/>
        <v>0</v>
      </c>
      <c r="BA33" s="159">
        <f t="shared" ca="1" si="27"/>
        <v>0</v>
      </c>
      <c r="BB33" s="159">
        <f t="shared" ca="1" si="27"/>
        <v>0</v>
      </c>
      <c r="BC33" s="159">
        <f t="shared" ca="1" si="27"/>
        <v>0</v>
      </c>
      <c r="BD33" s="159">
        <f t="shared" ca="1" si="27"/>
        <v>0</v>
      </c>
      <c r="BE33" s="159">
        <f t="shared" ca="1" si="27"/>
        <v>0</v>
      </c>
      <c r="BF33" s="159">
        <f t="shared" ca="1" si="27"/>
        <v>0</v>
      </c>
      <c r="BG33" s="159">
        <f ca="1">INDIRECT(BG$2&amp;$BH33)</f>
        <v>0</v>
      </c>
      <c r="BH33" s="121" t="str">
        <f>ADDRESS(ROW('01'!M19),COLUMN('01'!M19))</f>
        <v>$M$19</v>
      </c>
      <c r="BR33" s="1"/>
    </row>
    <row r="34" spans="2:255" ht="11.1" customHeight="1">
      <c r="B34" s="1"/>
      <c r="C34" s="17"/>
      <c r="E34" s="478" t="str">
        <f ca="1">IF($W34=0,'NTS ONLY_set_year'!$E$95,IF(INDEX($AV$7:$BG$7,$X34)&gt;0,'NTS ONLY_set_year'!$E$37,'NTS ONLY_set_year'!$E$103))</f>
        <v>Pas de données</v>
      </c>
      <c r="F34" s="479"/>
      <c r="G34" s="111" t="str">
        <f t="shared" ca="1" si="10"/>
        <v>- -</v>
      </c>
      <c r="H34" s="109" t="str">
        <f>'NTS ONLY_set_year'!$E$162</f>
        <v>novembre</v>
      </c>
      <c r="I34" s="596">
        <f t="shared" ca="1" si="3"/>
        <v>0</v>
      </c>
      <c r="J34" s="597">
        <f t="shared" ca="1" si="4"/>
        <v>0</v>
      </c>
      <c r="K34" s="418" t="str">
        <f t="shared" ca="1" si="5"/>
        <v>- -</v>
      </c>
      <c r="L34" s="419" t="str">
        <f t="shared" ca="1" si="11"/>
        <v>- -</v>
      </c>
      <c r="M34" s="110" t="str">
        <f t="shared" ca="1" si="22"/>
        <v>ok</v>
      </c>
      <c r="N34" s="111" t="str">
        <f t="shared" ca="1" si="12"/>
        <v>ok</v>
      </c>
      <c r="O34" s="111" t="str">
        <f t="shared" ca="1" si="13"/>
        <v>- -</v>
      </c>
      <c r="P34" s="112" t="str">
        <f t="shared" ca="1" si="14"/>
        <v>ok</v>
      </c>
      <c r="Q34" s="112" t="str">
        <f t="shared" ca="1" si="15"/>
        <v>- -</v>
      </c>
      <c r="R34" s="113" t="str">
        <f>'NTS ONLY_set_year'!$E$162</f>
        <v>novembre</v>
      </c>
      <c r="S34" s="39"/>
      <c r="T34" s="96"/>
      <c r="V34" s="200">
        <f t="shared" ca="1" si="6"/>
        <v>0</v>
      </c>
      <c r="W34" s="201">
        <f t="shared" ca="1" si="16"/>
        <v>0</v>
      </c>
      <c r="X34" s="215">
        <v>11</v>
      </c>
      <c r="Y34" s="216" t="str">
        <f t="shared" ca="1" si="24"/>
        <v>11</v>
      </c>
      <c r="Z34" s="228" t="str">
        <f ca="1">CELL("filename",'11'!N15)</f>
        <v>https://pwccan.sharepoint.com/sites/CA-TAX-DMS-Tax-NonClient/Tax Marketing/FR-Utilisation d'une automobile/2026/[electronic-car-log-2025-fr.xlsx]11</v>
      </c>
      <c r="AA34" s="197"/>
      <c r="AB34" s="194"/>
      <c r="AC34" s="191" t="str">
        <f t="shared" si="17"/>
        <v>OK</v>
      </c>
      <c r="AD34" s="218">
        <f t="shared" ca="1" si="23"/>
        <v>0</v>
      </c>
      <c r="AE34" s="281">
        <f t="shared" ca="1" si="18"/>
        <v>0</v>
      </c>
      <c r="AG34" s="219" t="s">
        <v>292</v>
      </c>
      <c r="AH34" s="220" t="str">
        <f t="shared" ca="1" si="7"/>
        <v/>
      </c>
      <c r="AI34" s="221" t="str">
        <f t="shared" ca="1" si="8"/>
        <v/>
      </c>
      <c r="AJ34" s="222" t="str">
        <f t="shared" ca="1" si="19"/>
        <v/>
      </c>
      <c r="AK34" s="223" t="str">
        <f t="shared" ca="1" si="9"/>
        <v/>
      </c>
      <c r="AL34" s="221" t="str">
        <f t="shared" ca="1" si="20"/>
        <v/>
      </c>
      <c r="AM34" s="224" t="str">
        <f t="shared" ca="1" si="21"/>
        <v/>
      </c>
      <c r="AN34" s="225"/>
      <c r="AQ34" s="183"/>
      <c r="AR34" s="168"/>
      <c r="AS34" s="168"/>
      <c r="AT34" s="168"/>
      <c r="AU34" s="168"/>
      <c r="AV34" s="187"/>
      <c r="AW34" s="157"/>
      <c r="AX34" s="157"/>
      <c r="AY34" s="157"/>
      <c r="AZ34" s="157"/>
      <c r="BA34" s="157"/>
      <c r="BB34" s="157"/>
      <c r="BC34" s="157"/>
      <c r="BD34" s="157"/>
      <c r="BE34" s="157"/>
      <c r="BF34" s="157"/>
      <c r="BG34" s="157"/>
      <c r="BR34" s="1"/>
    </row>
    <row r="35" spans="2:255" ht="11.1" customHeight="1" thickBot="1">
      <c r="B35" s="1"/>
      <c r="C35" s="17"/>
      <c r="E35" s="480" t="str">
        <f ca="1">IF($W35=0,'NTS ONLY_set_year'!$E$95,IF(INDEX($AV$7:$BG$7,$X35)&gt;0,'NTS ONLY_set_year'!$E$37,'NTS ONLY_set_year'!$E$103))</f>
        <v>Pas de données</v>
      </c>
      <c r="F35" s="481"/>
      <c r="G35" s="117" t="str">
        <f t="shared" ca="1" si="10"/>
        <v>- -</v>
      </c>
      <c r="H35" s="115" t="str">
        <f>'NTS ONLY_set_year'!$E$163</f>
        <v>décembre</v>
      </c>
      <c r="I35" s="598">
        <f t="shared" ca="1" si="3"/>
        <v>0</v>
      </c>
      <c r="J35" s="599">
        <f t="shared" ca="1" si="4"/>
        <v>0</v>
      </c>
      <c r="K35" s="420" t="str">
        <f t="shared" ca="1" si="5"/>
        <v>- -</v>
      </c>
      <c r="L35" s="421" t="str">
        <f t="shared" ca="1" si="11"/>
        <v>- -</v>
      </c>
      <c r="M35" s="110" t="str">
        <f t="shared" ca="1" si="22"/>
        <v>ok</v>
      </c>
      <c r="N35" s="117" t="str">
        <f t="shared" ca="1" si="12"/>
        <v>ok</v>
      </c>
      <c r="O35" s="117" t="str">
        <f t="shared" ca="1" si="13"/>
        <v>- -</v>
      </c>
      <c r="P35" s="118" t="str">
        <f t="shared" ca="1" si="14"/>
        <v>ok</v>
      </c>
      <c r="Q35" s="118" t="str">
        <f t="shared" ca="1" si="15"/>
        <v>- -</v>
      </c>
      <c r="R35" s="114" t="str">
        <f>'NTS ONLY_set_year'!$E$163</f>
        <v>décembre</v>
      </c>
      <c r="S35" s="39"/>
      <c r="T35" s="96"/>
      <c r="V35" s="241">
        <f t="shared" ca="1" si="6"/>
        <v>0</v>
      </c>
      <c r="W35" s="201">
        <f t="shared" ca="1" si="16"/>
        <v>0</v>
      </c>
      <c r="X35" s="226">
        <v>12</v>
      </c>
      <c r="Y35" s="216" t="str">
        <f t="shared" ca="1" si="24"/>
        <v>12</v>
      </c>
      <c r="Z35" s="228" t="str">
        <f ca="1">CELL("filename",'12'!N16)</f>
        <v>https://pwccan.sharepoint.com/sites/CA-TAX-DMS-Tax-NonClient/Tax Marketing/FR-Utilisation d'une automobile/2026/[electronic-car-log-2025-fr.xlsx]12</v>
      </c>
      <c r="AA35" s="231"/>
      <c r="AB35" s="229"/>
      <c r="AC35" s="429" t="str">
        <f t="shared" si="17"/>
        <v>OK</v>
      </c>
      <c r="AD35" s="218">
        <f t="shared" ca="1" si="23"/>
        <v>0</v>
      </c>
      <c r="AE35" s="281">
        <f t="shared" ca="1" si="18"/>
        <v>0</v>
      </c>
      <c r="AG35" s="232" t="s">
        <v>294</v>
      </c>
      <c r="AH35" s="233" t="str">
        <f t="shared" ca="1" si="7"/>
        <v/>
      </c>
      <c r="AI35" s="234" t="str">
        <f t="shared" ca="1" si="8"/>
        <v/>
      </c>
      <c r="AJ35" s="235" t="str">
        <f t="shared" ca="1" si="19"/>
        <v/>
      </c>
      <c r="AK35" s="236" t="str">
        <f t="shared" ca="1" si="9"/>
        <v/>
      </c>
      <c r="AL35" s="234" t="str">
        <f t="shared" ca="1" si="20"/>
        <v/>
      </c>
      <c r="AM35" s="237" t="str">
        <f t="shared" ca="1" si="21"/>
        <v/>
      </c>
      <c r="AN35" s="238"/>
      <c r="AQ35" s="183"/>
      <c r="AR35" s="168"/>
      <c r="AS35" s="168"/>
      <c r="AT35" s="168"/>
      <c r="AU35" s="168"/>
      <c r="AV35" s="242">
        <v>1</v>
      </c>
      <c r="AW35" s="242">
        <v>2</v>
      </c>
      <c r="AX35" s="242">
        <v>3</v>
      </c>
      <c r="AY35" s="242">
        <v>4</v>
      </c>
      <c r="AZ35" s="242">
        <v>5</v>
      </c>
      <c r="BA35" s="242">
        <v>6</v>
      </c>
      <c r="BB35" s="242">
        <v>7</v>
      </c>
      <c r="BC35" s="242">
        <v>8</v>
      </c>
      <c r="BD35" s="242">
        <v>9</v>
      </c>
      <c r="BE35" s="242">
        <v>10</v>
      </c>
      <c r="BF35" s="242">
        <v>11</v>
      </c>
      <c r="BG35" s="242">
        <v>12</v>
      </c>
      <c r="BR35" s="1"/>
    </row>
    <row r="36" spans="2:255" ht="3" customHeight="1" thickTop="1">
      <c r="B36" s="1"/>
      <c r="C36" s="1"/>
      <c r="D36" s="68"/>
      <c r="E36" s="42"/>
      <c r="F36" s="42"/>
      <c r="G36" s="42"/>
      <c r="H36" s="44"/>
      <c r="I36" s="44"/>
      <c r="J36" s="45"/>
      <c r="K36" s="46"/>
      <c r="L36" s="45"/>
      <c r="M36" s="46"/>
      <c r="N36" s="43"/>
      <c r="O36" s="43"/>
      <c r="P36" s="43"/>
      <c r="Q36" s="43"/>
      <c r="R36" s="102"/>
      <c r="S36" s="100"/>
      <c r="T36" s="39"/>
      <c r="V36" s="243"/>
      <c r="W36" s="243"/>
      <c r="AC36" s="186"/>
      <c r="AD36" s="175"/>
      <c r="AL36" s="244"/>
      <c r="AN36" s="168"/>
      <c r="AQ36" s="183"/>
      <c r="AR36" s="168"/>
      <c r="AS36" s="168"/>
      <c r="AT36" s="168"/>
      <c r="AU36" s="168"/>
      <c r="AV36" s="242"/>
      <c r="AW36" s="242"/>
      <c r="AX36" s="242"/>
      <c r="AY36" s="242"/>
      <c r="AZ36" s="242"/>
      <c r="BA36" s="242"/>
      <c r="BB36" s="242"/>
      <c r="BC36" s="242"/>
      <c r="BD36" s="242"/>
      <c r="BE36" s="242"/>
      <c r="BF36" s="242"/>
      <c r="BG36" s="242"/>
      <c r="BR36" s="1"/>
    </row>
    <row r="37" spans="2:255" ht="12" customHeight="1">
      <c r="D37" s="78"/>
      <c r="E37" s="78"/>
      <c r="F37" s="78"/>
      <c r="G37" s="720" t="str">
        <f>'NTS ONLY_set_year'!E47</f>
        <v>* Inscrire ici le nombre de véhicules utilisés. Par exemple, si on emprunte la voiture 1, que l'on passe à la voiture 2 puis qu'on utilise ensuite la voiture 3, on doit indiquer 3 dans la cellule.</v>
      </c>
      <c r="H37" s="721"/>
      <c r="I37" s="721"/>
      <c r="J37" s="721"/>
      <c r="K37" s="721"/>
      <c r="L37" s="721"/>
      <c r="M37" s="721"/>
      <c r="N37" s="721"/>
      <c r="O37" s="721"/>
      <c r="P37" s="721"/>
      <c r="Q37" s="722"/>
      <c r="R37" s="722"/>
      <c r="S37" s="100"/>
      <c r="T37" s="39"/>
      <c r="V37" s="243"/>
      <c r="W37" s="243"/>
      <c r="AC37" s="120"/>
      <c r="AD37" s="175"/>
      <c r="AL37" s="120"/>
      <c r="AN37" s="168"/>
      <c r="AQ37" s="183"/>
      <c r="AR37" s="168"/>
      <c r="AS37" s="168"/>
      <c r="AT37" s="440" t="s">
        <v>413</v>
      </c>
      <c r="AU37" s="440"/>
      <c r="AV37" s="441">
        <f ca="1">IF(ISNUMBER(INDIRECT(AV$2&amp;$BH37)),INDIRECT(AV$2&amp;$BH37),0)</f>
        <v>0</v>
      </c>
      <c r="AW37" s="441">
        <f t="shared" ref="AW37:BG37" ca="1" si="28">IF(ISNUMBER(INDIRECT(AW$2&amp;$BH37)),INDIRECT(AW$2&amp;$BH37),0)</f>
        <v>0</v>
      </c>
      <c r="AX37" s="441">
        <f t="shared" ca="1" si="28"/>
        <v>0</v>
      </c>
      <c r="AY37" s="441">
        <f t="shared" ca="1" si="28"/>
        <v>0</v>
      </c>
      <c r="AZ37" s="441">
        <f t="shared" ca="1" si="28"/>
        <v>0</v>
      </c>
      <c r="BA37" s="441">
        <f t="shared" ca="1" si="28"/>
        <v>0</v>
      </c>
      <c r="BB37" s="441">
        <f t="shared" ca="1" si="28"/>
        <v>0</v>
      </c>
      <c r="BC37" s="441">
        <f t="shared" ca="1" si="28"/>
        <v>0</v>
      </c>
      <c r="BD37" s="441">
        <f t="shared" ca="1" si="28"/>
        <v>0</v>
      </c>
      <c r="BE37" s="441">
        <f t="shared" ca="1" si="28"/>
        <v>0</v>
      </c>
      <c r="BF37" s="441">
        <f t="shared" ca="1" si="28"/>
        <v>0</v>
      </c>
      <c r="BG37" s="441">
        <f t="shared" ca="1" si="28"/>
        <v>0</v>
      </c>
      <c r="BH37" s="440" t="s">
        <v>414</v>
      </c>
      <c r="BR37" s="1"/>
    </row>
    <row r="38" spans="2:255" ht="19.5" customHeight="1">
      <c r="F38" s="526"/>
      <c r="G38" s="526"/>
      <c r="H38" s="526"/>
      <c r="I38" s="634" t="str">
        <f>'NTS ONLY_set_year'!$E$133</f>
        <v>©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J38" s="635"/>
      <c r="K38" s="635"/>
      <c r="L38" s="635"/>
      <c r="M38" s="635"/>
      <c r="N38" s="635"/>
      <c r="O38" s="635"/>
      <c r="P38" s="635"/>
      <c r="Q38" s="635"/>
      <c r="R38" s="635"/>
      <c r="U38"/>
      <c r="V38"/>
      <c r="X38" s="245"/>
      <c r="AC38" s="246"/>
      <c r="AD38" s="121"/>
      <c r="AG38" s="121"/>
      <c r="AL38" s="120"/>
      <c r="AM38" s="120"/>
      <c r="AW38" s="247" t="s">
        <v>415</v>
      </c>
      <c r="AX38" s="159">
        <f t="shared" ref="AX38:BI40" ca="1" si="29">INDIRECT(AV$2&amp;$BJ38)</f>
        <v>0</v>
      </c>
      <c r="AY38" s="159">
        <f t="shared" ca="1" si="29"/>
        <v>0</v>
      </c>
      <c r="AZ38" s="159">
        <f t="shared" ca="1" si="29"/>
        <v>0</v>
      </c>
      <c r="BA38" s="159">
        <f t="shared" ca="1" si="29"/>
        <v>0</v>
      </c>
      <c r="BB38" s="159">
        <f t="shared" ca="1" si="29"/>
        <v>0</v>
      </c>
      <c r="BC38" s="159">
        <f t="shared" ca="1" si="29"/>
        <v>0</v>
      </c>
      <c r="BD38" s="159">
        <f t="shared" ca="1" si="29"/>
        <v>0</v>
      </c>
      <c r="BE38" s="159">
        <f t="shared" ca="1" si="29"/>
        <v>0</v>
      </c>
      <c r="BF38" s="159">
        <f t="shared" ca="1" si="29"/>
        <v>0</v>
      </c>
      <c r="BG38" s="159">
        <f t="shared" ca="1" si="29"/>
        <v>0</v>
      </c>
      <c r="BH38" s="159">
        <f t="shared" ca="1" si="29"/>
        <v>0</v>
      </c>
      <c r="BI38" s="159">
        <f t="shared" ca="1" si="29"/>
        <v>0</v>
      </c>
      <c r="BJ38" s="121" t="str">
        <f>ADDRESS(ROW('01'!$BO$10),COLUMN('01'!$BO$10))</f>
        <v>$BO$10</v>
      </c>
      <c r="BQ38" s="121"/>
      <c r="BR38" s="121"/>
      <c r="BS38" s="120"/>
    </row>
    <row r="39" spans="2:255" ht="27.9" customHeight="1">
      <c r="E39" s="526"/>
      <c r="F39" s="526"/>
      <c r="G39" s="526"/>
      <c r="H39" s="526"/>
      <c r="I39" s="635"/>
      <c r="J39" s="635"/>
      <c r="K39" s="635"/>
      <c r="L39" s="635"/>
      <c r="M39" s="635"/>
      <c r="N39" s="635"/>
      <c r="O39" s="635"/>
      <c r="P39" s="635"/>
      <c r="Q39" s="635"/>
      <c r="R39" s="635"/>
      <c r="U39"/>
      <c r="V39"/>
      <c r="AC39" s="246"/>
      <c r="AD39" s="121"/>
      <c r="AG39" s="121"/>
      <c r="AL39" s="120"/>
      <c r="AM39" s="120"/>
      <c r="AW39" s="247" t="s">
        <v>416</v>
      </c>
      <c r="AX39" s="159">
        <f t="shared" ca="1" si="29"/>
        <v>0</v>
      </c>
      <c r="AY39" s="159">
        <f t="shared" ca="1" si="29"/>
        <v>0</v>
      </c>
      <c r="AZ39" s="159">
        <f t="shared" ca="1" si="29"/>
        <v>0</v>
      </c>
      <c r="BA39" s="159">
        <f t="shared" ca="1" si="29"/>
        <v>0</v>
      </c>
      <c r="BB39" s="159">
        <f t="shared" ca="1" si="29"/>
        <v>0</v>
      </c>
      <c r="BC39" s="159">
        <f t="shared" ca="1" si="29"/>
        <v>0</v>
      </c>
      <c r="BD39" s="159">
        <f t="shared" ca="1" si="29"/>
        <v>0</v>
      </c>
      <c r="BE39" s="159">
        <f t="shared" ca="1" si="29"/>
        <v>0</v>
      </c>
      <c r="BF39" s="159">
        <f t="shared" ca="1" si="29"/>
        <v>0</v>
      </c>
      <c r="BG39" s="159">
        <f t="shared" ca="1" si="29"/>
        <v>0</v>
      </c>
      <c r="BH39" s="159">
        <f t="shared" ca="1" si="29"/>
        <v>0</v>
      </c>
      <c r="BI39" s="159">
        <f t="shared" ca="1" si="29"/>
        <v>0</v>
      </c>
      <c r="BJ39" s="121" t="str">
        <f>ADDRESS(ROW('01'!$BO$11),COLUMN('01'!$BO$11))</f>
        <v>$BO$11</v>
      </c>
      <c r="BQ39" s="121"/>
      <c r="BR39" s="121"/>
      <c r="BS39" s="120"/>
    </row>
    <row r="40" spans="2:255" s="26" customFormat="1" ht="27.9" customHeight="1">
      <c r="C40"/>
      <c r="D40"/>
      <c r="E40" s="526"/>
      <c r="F40" s="526"/>
      <c r="G40" s="526"/>
      <c r="H40" s="526"/>
      <c r="I40" s="635"/>
      <c r="J40" s="635"/>
      <c r="K40" s="635"/>
      <c r="L40" s="635"/>
      <c r="M40" s="635"/>
      <c r="N40" s="635"/>
      <c r="O40" s="635"/>
      <c r="P40" s="635"/>
      <c r="Q40" s="635"/>
      <c r="R40" s="635"/>
      <c r="T40" s="51"/>
      <c r="W40" s="248"/>
      <c r="X40" s="248"/>
      <c r="Y40" s="248"/>
      <c r="Z40" s="248"/>
      <c r="AA40" s="248"/>
      <c r="AB40" s="248"/>
      <c r="AC40" s="249"/>
      <c r="AD40" s="250"/>
      <c r="AE40" s="250"/>
      <c r="AF40" s="248"/>
      <c r="AG40" s="250"/>
      <c r="AH40" s="248"/>
      <c r="AI40" s="248"/>
      <c r="AJ40" s="248"/>
      <c r="AK40" s="248"/>
      <c r="AL40" s="248"/>
      <c r="AM40" s="248"/>
      <c r="AN40" s="250"/>
      <c r="AO40" s="250"/>
      <c r="AP40" s="250"/>
      <c r="AQ40" s="250"/>
      <c r="AR40" s="250"/>
      <c r="AS40" s="250"/>
      <c r="AT40" s="250"/>
      <c r="AU40" s="121"/>
      <c r="AV40" s="121"/>
      <c r="AW40" s="247" t="s">
        <v>417</v>
      </c>
      <c r="AX40" s="159">
        <f t="shared" ca="1" si="29"/>
        <v>0</v>
      </c>
      <c r="AY40" s="159">
        <f t="shared" ca="1" si="29"/>
        <v>0</v>
      </c>
      <c r="AZ40" s="159">
        <f t="shared" ca="1" si="29"/>
        <v>0</v>
      </c>
      <c r="BA40" s="159">
        <f t="shared" ca="1" si="29"/>
        <v>0</v>
      </c>
      <c r="BB40" s="159">
        <f t="shared" ca="1" si="29"/>
        <v>0</v>
      </c>
      <c r="BC40" s="159">
        <f t="shared" ca="1" si="29"/>
        <v>0</v>
      </c>
      <c r="BD40" s="159">
        <f t="shared" ca="1" si="29"/>
        <v>0</v>
      </c>
      <c r="BE40" s="159">
        <f t="shared" ca="1" si="29"/>
        <v>0</v>
      </c>
      <c r="BF40" s="159">
        <f t="shared" ca="1" si="29"/>
        <v>0</v>
      </c>
      <c r="BG40" s="159">
        <f t="shared" ca="1" si="29"/>
        <v>0</v>
      </c>
      <c r="BH40" s="159">
        <f t="shared" ca="1" si="29"/>
        <v>0</v>
      </c>
      <c r="BI40" s="159">
        <f t="shared" ca="1" si="29"/>
        <v>0</v>
      </c>
      <c r="BJ40" s="121" t="str">
        <f>ADDRESS(ROW('01'!$AU$12),COLUMN('01'!$AU$12))</f>
        <v>$AU$12</v>
      </c>
      <c r="BK40" s="121"/>
      <c r="BL40" s="250"/>
      <c r="BM40" s="250"/>
      <c r="BN40" s="250"/>
      <c r="BO40" s="250"/>
      <c r="BP40" s="250"/>
      <c r="BQ40" s="250"/>
      <c r="BR40" s="250"/>
      <c r="BS40" s="248"/>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row>
    <row r="41" spans="2:255" ht="33" customHeight="1">
      <c r="H41" s="26"/>
      <c r="P41" s="4"/>
      <c r="Q41" s="41"/>
      <c r="R41" s="41"/>
      <c r="S41" s="40"/>
      <c r="AA41" s="246"/>
      <c r="AB41" s="121"/>
      <c r="AU41" s="247" t="s">
        <v>418</v>
      </c>
      <c r="AV41" s="159">
        <f t="shared" ref="AV41:BG41" ca="1" si="30">INDIRECT(AV$2&amp;$BH41)</f>
        <v>0</v>
      </c>
      <c r="AW41" s="159">
        <f t="shared" ca="1" si="30"/>
        <v>0</v>
      </c>
      <c r="AX41" s="159">
        <f t="shared" ca="1" si="30"/>
        <v>0</v>
      </c>
      <c r="AY41" s="159">
        <f t="shared" ca="1" si="30"/>
        <v>0</v>
      </c>
      <c r="AZ41" s="159">
        <f t="shared" ca="1" si="30"/>
        <v>0</v>
      </c>
      <c r="BA41" s="159">
        <f t="shared" ca="1" si="30"/>
        <v>0</v>
      </c>
      <c r="BB41" s="159">
        <f t="shared" ca="1" si="30"/>
        <v>0</v>
      </c>
      <c r="BC41" s="159">
        <f t="shared" ca="1" si="30"/>
        <v>0</v>
      </c>
      <c r="BD41" s="159">
        <f t="shared" ca="1" si="30"/>
        <v>0</v>
      </c>
      <c r="BE41" s="159">
        <f t="shared" ca="1" si="30"/>
        <v>0</v>
      </c>
      <c r="BF41" s="159">
        <f t="shared" ca="1" si="30"/>
        <v>0</v>
      </c>
      <c r="BG41" s="159">
        <f t="shared" ca="1" si="30"/>
        <v>0</v>
      </c>
      <c r="BH41" s="121" t="str">
        <f>ADDRESS(ROW('01'!$AU$13),COLUMN('01'!$AU$13))</f>
        <v>$AU$13</v>
      </c>
    </row>
    <row r="42" spans="2:255" ht="13.2" hidden="1">
      <c r="AA42" s="121"/>
      <c r="AB42" s="121"/>
      <c r="BH42" s="121" t="str">
        <f>ADDRESS(ROW('01'!M27),COLUMN('01'!M27))</f>
        <v>$M$27</v>
      </c>
    </row>
    <row r="43" spans="2:255" ht="13.2" hidden="1">
      <c r="AA43" s="121"/>
      <c r="AB43" s="121"/>
    </row>
    <row r="44" spans="2:255" ht="13.2" hidden="1">
      <c r="AA44" s="121"/>
      <c r="AB44" s="121"/>
    </row>
    <row r="45" spans="2:255" ht="13.2" hidden="1">
      <c r="AA45" s="121"/>
      <c r="AB45" s="121"/>
    </row>
    <row r="46" spans="2:255" ht="13.2" hidden="1">
      <c r="AA46" s="121"/>
      <c r="AB46" s="121"/>
    </row>
    <row r="47" spans="2:255" ht="13.2" hidden="1">
      <c r="AA47" s="121"/>
      <c r="AB47" s="121"/>
    </row>
    <row r="48" spans="2:255" ht="13.2" hidden="1">
      <c r="AA48" s="121"/>
      <c r="AB48" s="121"/>
    </row>
    <row r="49" spans="27:28" ht="13.2" hidden="1">
      <c r="AA49" s="121"/>
      <c r="AB49" s="121"/>
    </row>
    <row r="50" spans="27:28" ht="13.2" hidden="1">
      <c r="AA50" s="121"/>
      <c r="AB50" s="121"/>
    </row>
    <row r="51" spans="27:28" ht="13.2" hidden="1">
      <c r="AA51" s="121"/>
      <c r="AB51" s="121"/>
    </row>
    <row r="52" spans="27:28" ht="13.2" hidden="1">
      <c r="AA52" s="121"/>
      <c r="AB52" s="121"/>
    </row>
    <row r="53" spans="27:28" ht="13.2" hidden="1">
      <c r="AA53" s="121"/>
      <c r="AB53" s="121"/>
    </row>
    <row r="54" spans="27:28" ht="13.2" hidden="1">
      <c r="AA54" s="121"/>
      <c r="AB54" s="121"/>
    </row>
    <row r="55" spans="27:28" ht="13.2" hidden="1">
      <c r="AA55" s="121"/>
      <c r="AB55" s="121"/>
    </row>
    <row r="56" spans="27:28" ht="13.2" hidden="1">
      <c r="AA56" s="121"/>
      <c r="AB56" s="121"/>
    </row>
    <row r="57" spans="27:28" ht="13.2" hidden="1">
      <c r="AA57" s="121"/>
      <c r="AB57" s="121"/>
    </row>
    <row r="58" spans="27:28" ht="13.2" hidden="1">
      <c r="AA58" s="121"/>
      <c r="AB58" s="121"/>
    </row>
    <row r="59" spans="27:28" ht="13.2" hidden="1">
      <c r="AA59" s="121"/>
      <c r="AB59" s="121"/>
    </row>
    <row r="60" spans="27:28" ht="13.2" hidden="1">
      <c r="AA60" s="121"/>
      <c r="AB60" s="121"/>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B7:C7">
    <cfRule type="expression" dxfId="867" priority="61" stopIfTrue="1">
      <formula>($AC$7=0)</formula>
    </cfRule>
    <cfRule type="expression" dxfId="866" priority="60" stopIfTrue="1">
      <formula>$AD$7</formula>
    </cfRule>
  </conditionalFormatting>
  <conditionalFormatting sqref="B19:C23">
    <cfRule type="expression" dxfId="865" priority="32" stopIfTrue="1">
      <formula>($V$7="rest of Canada")</formula>
    </cfRule>
  </conditionalFormatting>
  <conditionalFormatting sqref="C24:C35">
    <cfRule type="cellIs" dxfId="864" priority="34" stopIfTrue="1" operator="equal">
      <formula>$V$16</formula>
    </cfRule>
    <cfRule type="expression" dxfId="863" priority="33" stopIfTrue="1">
      <formula>($V$7=$V$5)</formula>
    </cfRule>
  </conditionalFormatting>
  <conditionalFormatting sqref="E6 E7:H7">
    <cfRule type="expression" dxfId="862" priority="29" stopIfTrue="1">
      <formula>AND(ISNUMBER($B$7),$B$6&gt;1900)</formula>
    </cfRule>
  </conditionalFormatting>
  <conditionalFormatting sqref="E24:F35">
    <cfRule type="cellIs" dxfId="861" priority="31" stopIfTrue="1" operator="equal">
      <formula>$V$14</formula>
    </cfRule>
  </conditionalFormatting>
  <conditionalFormatting sqref="G24:G35">
    <cfRule type="expression" dxfId="860" priority="13" stopIfTrue="1">
      <formula>AND(ISNUMBER($G24),$G24&gt;1)</formula>
    </cfRule>
    <cfRule type="cellIs" dxfId="859" priority="14" stopIfTrue="1" operator="equal">
      <formula>1</formula>
    </cfRule>
  </conditionalFormatting>
  <conditionalFormatting sqref="H24:H35 R24:R35">
    <cfRule type="expression" dxfId="858" priority="58" stopIfTrue="1">
      <formula>$AC24="X"</formula>
    </cfRule>
  </conditionalFormatting>
  <conditionalFormatting sqref="I24:I35">
    <cfRule type="expression" dxfId="857" priority="52" stopIfTrue="1">
      <formula>OR(ISTEXT(G24),I24="'- -")</formula>
    </cfRule>
    <cfRule type="expression" dxfId="856" priority="53" stopIfTrue="1">
      <formula>AND(I24&gt;K24,ISNUMBER(24))</formula>
    </cfRule>
  </conditionalFormatting>
  <conditionalFormatting sqref="I11:K11">
    <cfRule type="expression" dxfId="855" priority="15" stopIfTrue="1">
      <formula>($V$7="REST OF Canada")</formula>
    </cfRule>
  </conditionalFormatting>
  <conditionalFormatting sqref="J24:J35">
    <cfRule type="expression" dxfId="854" priority="54" stopIfTrue="1">
      <formula>OR(ISTEXT(G24),J24="'- -")</formula>
    </cfRule>
    <cfRule type="expression" dxfId="853" priority="55" stopIfTrue="1">
      <formula>AND(J24&lt;L24,ISNUMBER(G24))</formula>
    </cfRule>
  </conditionalFormatting>
  <conditionalFormatting sqref="J36">
    <cfRule type="expression" dxfId="852" priority="2" stopIfTrue="1">
      <formula>($N36="CHECK")</formula>
    </cfRule>
  </conditionalFormatting>
  <conditionalFormatting sqref="J36:K36">
    <cfRule type="expression" dxfId="851" priority="1" stopIfTrue="1">
      <formula>($Q36="CHECK")</formula>
    </cfRule>
  </conditionalFormatting>
  <conditionalFormatting sqref="K24:K35">
    <cfRule type="expression" dxfId="850" priority="43" stopIfTrue="1">
      <formula>AND(ISNUMBER(K24),K24&gt;0)</formula>
    </cfRule>
    <cfRule type="expression" dxfId="849" priority="42" stopIfTrue="1">
      <formula>AND(ISNUMBER(K24),K24&gt;0,K24&lt;I24)</formula>
    </cfRule>
  </conditionalFormatting>
  <conditionalFormatting sqref="K36">
    <cfRule type="expression" dxfId="848" priority="6" stopIfTrue="1">
      <formula>($P36="CHECK")</formula>
    </cfRule>
  </conditionalFormatting>
  <conditionalFormatting sqref="K24:L35">
    <cfRule type="cellIs" dxfId="847" priority="41" stopIfTrue="1" operator="lessThan">
      <formula>0</formula>
    </cfRule>
  </conditionalFormatting>
  <conditionalFormatting sqref="L24:L35">
    <cfRule type="expression" dxfId="846" priority="47" stopIfTrue="1">
      <formula>AND(ISNUMBER(L24),L24&gt;0)</formula>
    </cfRule>
    <cfRule type="expression" dxfId="845" priority="46" stopIfTrue="1">
      <formula>AND(ISNUMBER(L24),L24&gt;J24)</formula>
    </cfRule>
  </conditionalFormatting>
  <conditionalFormatting sqref="L36">
    <cfRule type="expression" dxfId="844" priority="4" stopIfTrue="1">
      <formula>($O36="Check")</formula>
    </cfRule>
  </conditionalFormatting>
  <conditionalFormatting sqref="M24">
    <cfRule type="expression" dxfId="843" priority="10" stopIfTrue="1">
      <formula>AND(M24=$V$14,$G24=1)</formula>
    </cfRule>
    <cfRule type="cellIs" dxfId="842" priority="11" stopIfTrue="1" operator="equal">
      <formula>$V$14</formula>
    </cfRule>
    <cfRule type="cellIs" dxfId="841" priority="12" stopIfTrue="1" operator="equal">
      <formula>"- -"</formula>
    </cfRule>
  </conditionalFormatting>
  <conditionalFormatting sqref="M25">
    <cfRule type="expression" dxfId="840" priority="49" stopIfTrue="1">
      <formula>OR(ISTEXT(G25),M25="- -")</formula>
    </cfRule>
  </conditionalFormatting>
  <conditionalFormatting sqref="M25:M35">
    <cfRule type="cellIs" dxfId="839" priority="48" stopIfTrue="1" operator="equal">
      <formula>$V$14</formula>
    </cfRule>
  </conditionalFormatting>
  <conditionalFormatting sqref="M26:M35">
    <cfRule type="expression" dxfId="838" priority="51" stopIfTrue="1">
      <formula>OR(ISTEXT(G26),M26="- -")</formula>
    </cfRule>
  </conditionalFormatting>
  <conditionalFormatting sqref="M36">
    <cfRule type="expression" dxfId="837" priority="3" stopIfTrue="1">
      <formula>($P36="Check")</formula>
    </cfRule>
  </conditionalFormatting>
  <conditionalFormatting sqref="M21:P23">
    <cfRule type="expression" dxfId="836" priority="9" stopIfTrue="1">
      <formula>(Y$20=$V$11)</formula>
    </cfRule>
  </conditionalFormatting>
  <conditionalFormatting sqref="N17 M18">
    <cfRule type="cellIs" dxfId="835" priority="28" stopIfTrue="1" operator="equal">
      <formula>0</formula>
    </cfRule>
  </conditionalFormatting>
  <conditionalFormatting sqref="N24:N35">
    <cfRule type="cellIs" dxfId="834" priority="37" stopIfTrue="1" operator="equal">
      <formula>"- -"</formula>
    </cfRule>
  </conditionalFormatting>
  <conditionalFormatting sqref="N24:O35">
    <cfRule type="cellIs" dxfId="833" priority="36" stopIfTrue="1" operator="equal">
      <formula>$V$14</formula>
    </cfRule>
  </conditionalFormatting>
  <conditionalFormatting sqref="N36:P36">
    <cfRule type="cellIs" dxfId="832" priority="22" stopIfTrue="1" operator="equal">
      <formula>"check"</formula>
    </cfRule>
  </conditionalFormatting>
  <conditionalFormatting sqref="O24:O35">
    <cfRule type="cellIs" dxfId="831" priority="57" stopIfTrue="1" operator="equal">
      <formula>"- -"</formula>
    </cfRule>
  </conditionalFormatting>
  <conditionalFormatting sqref="O17:R17 N18:R18 R19">
    <cfRule type="cellIs" dxfId="830" priority="18" stopIfTrue="1" operator="equal">
      <formula>0</formula>
    </cfRule>
  </conditionalFormatting>
  <conditionalFormatting sqref="P24:P35">
    <cfRule type="cellIs" dxfId="829" priority="38" stopIfTrue="1" operator="equal">
      <formula>$V$14</formula>
    </cfRule>
    <cfRule type="cellIs" dxfId="828" priority="39" stopIfTrue="1" operator="equal">
      <formula>"- -"</formula>
    </cfRule>
  </conditionalFormatting>
  <conditionalFormatting sqref="Q24:Q35">
    <cfRule type="cellIs" dxfId="827" priority="44" stopIfTrue="1" operator="equal">
      <formula>$V$14</formula>
    </cfRule>
  </conditionalFormatting>
  <conditionalFormatting sqref="Q20:R20">
    <cfRule type="expression" dxfId="826" priority="7" stopIfTrue="1">
      <formula>(AC$20="no problem")</formula>
    </cfRule>
  </conditionalFormatting>
  <conditionalFormatting sqref="R36">
    <cfRule type="cellIs" dxfId="825" priority="21" stopIfTrue="1" operator="equal">
      <formula>"check"</formula>
    </cfRule>
  </conditionalFormatting>
  <conditionalFormatting sqref="S15">
    <cfRule type="cellIs" dxfId="824" priority="24" stopIfTrue="1" operator="equal">
      <formula>0</formula>
    </cfRule>
  </conditionalFormatting>
  <conditionalFormatting sqref="S20:S23">
    <cfRule type="expression" dxfId="823" priority="8" stopIfTrue="1">
      <formula>(AC$20="no problem")</formula>
    </cfRule>
  </conditionalFormatting>
  <conditionalFormatting sqref="S24:S35 Q36 T36:T37">
    <cfRule type="cellIs" dxfId="822" priority="20" stopIfTrue="1" operator="equal">
      <formula>"check"</formula>
    </cfRule>
  </conditionalFormatting>
  <conditionalFormatting sqref="V9">
    <cfRule type="expression" dxfId="821" priority="23" stopIfTrue="1">
      <formula>(LEN($AB$10)&gt;4)</formula>
    </cfRule>
  </conditionalFormatting>
  <conditionalFormatting sqref="V21 V24:V37 W36:W37">
    <cfRule type="cellIs" dxfId="820" priority="16" stopIfTrue="1" operator="greaterThan">
      <formula>0</formula>
    </cfRule>
  </conditionalFormatting>
  <conditionalFormatting sqref="W18 V19">
    <cfRule type="cellIs" dxfId="819" priority="17" stopIfTrue="1" operator="equal">
      <formula>1</formula>
    </cfRule>
  </conditionalFormatting>
  <conditionalFormatting sqref="W24:W35">
    <cfRule type="cellIs" dxfId="818" priority="35" stopIfTrue="1" operator="greaterThan">
      <formula>0</formula>
    </cfRule>
  </conditionalFormatting>
  <conditionalFormatting sqref="AC6">
    <cfRule type="expression" dxfId="817" priority="26" stopIfTrue="1">
      <formula>$AD$6</formula>
    </cfRule>
  </conditionalFormatting>
  <conditionalFormatting sqref="AC7">
    <cfRule type="expression" dxfId="816" priority="25" stopIfTrue="1">
      <formula>$AD$7</formula>
    </cfRule>
  </conditionalFormatting>
  <conditionalFormatting sqref="AD24:AD35">
    <cfRule type="cellIs" dxfId="815" priority="19" stopIfTrue="1" operator="equal">
      <formula>0</formula>
    </cfRule>
  </conditionalFormatting>
  <conditionalFormatting sqref="AE24:AE35">
    <cfRule type="cellIs" dxfId="814" priority="40" stopIfTrue="1" operator="greaterThan">
      <formula>0</formula>
    </cfRule>
  </conditionalFormatting>
  <conditionalFormatting sqref="AL5:BP6">
    <cfRule type="cellIs" dxfId="813" priority="27" stopIfTrue="1" operator="equal">
      <formula>0</formula>
    </cfRule>
  </conditionalFormatting>
  <conditionalFormatting sqref="AV7:BG10 AV31:BG33">
    <cfRule type="cellIs" dxfId="812" priority="30" stopIfTrue="1" operator="greaterThan">
      <formula>0</formula>
    </cfRule>
  </conditionalFormatting>
  <conditionalFormatting sqref="AV27:BG27 AV37:BG37">
    <cfRule type="cellIs" dxfId="811" priority="59" stopIfTrue="1" operator="equal">
      <formula>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H200" sqref="H200"/>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9" ht="13.5" customHeight="1" thickBot="1">
      <c r="Q1" s="34"/>
      <c r="R1" s="19"/>
      <c r="S1" s="19"/>
      <c r="T1" s="692"/>
      <c r="U1" s="693"/>
      <c r="V1" s="693"/>
      <c r="W1" s="693"/>
      <c r="X1" s="693"/>
      <c r="Y1" s="693"/>
      <c r="Z1" s="693"/>
      <c r="AA1" s="693"/>
      <c r="AB1" s="693"/>
      <c r="AC1" s="693"/>
      <c r="BQ1" s="251"/>
      <c r="BR1" s="7"/>
      <c r="BS1" s="7"/>
      <c r="BT1" s="7"/>
      <c r="IU1" s="16"/>
    </row>
    <row r="2" spans="1:259"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9"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automobile/2026/[electronic-car-log-2025-fr.xlsx]01</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c r="IY3" s="539"/>
    </row>
    <row r="4" spans="1:259"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01</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9" ht="15.75" customHeight="1">
      <c r="B5" s="767" t="str">
        <f ca="1">V17</f>
        <v>janvier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January</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9" ht="15" customHeight="1">
      <c r="B6" s="602" t="str">
        <f ca="1">IF(AD6=1,"",BO15)</f>
        <v/>
      </c>
      <c r="C6" s="577" t="str">
        <f ca="1">IF(AD6=1,"","= "&amp;'NTS ONLY_set_year'!$E$102)</f>
        <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1</v>
      </c>
      <c r="AE6" s="144" t="str">
        <f ca="1">TEXT(DATE($AE$7,$AD$6,1),"Mmmm, YYYY")</f>
        <v>January, 2026</v>
      </c>
      <c r="AF6" s="145">
        <f ca="1">$AF$5</f>
        <v>31</v>
      </c>
      <c r="AG6" s="178" t="str">
        <f>'NTS ONLY_set_year'!E26</f>
        <v>◄ ◄ ◄ ◄ Ne peut sauter une journée</v>
      </c>
      <c r="AH6" s="168"/>
      <c r="AI6" s="178"/>
      <c r="AJ6" s="267"/>
      <c r="BQ6" s="251"/>
      <c r="BR6" s="7"/>
      <c r="BS6" s="7"/>
      <c r="BT6" s="7"/>
      <c r="IU6" s="16"/>
    </row>
    <row r="7" spans="1:259"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9"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46022</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9"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9"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9"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9"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9"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9"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9"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t="str">
        <f ca="1">INDEX('Annual Summary_Sommaire annuel'!$AV$27:$BG$27,AD6)</f>
        <v>N/A</v>
      </c>
      <c r="BQ15" s="300"/>
      <c r="BR15" s="8"/>
      <c r="BS15" s="8"/>
      <c r="BT15" s="8"/>
      <c r="IU15" s="16"/>
    </row>
    <row r="16" spans="1:259"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janvier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January</v>
      </c>
      <c r="V18" s="510" t="str">
        <f ca="1">AE6</f>
        <v>January,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janvier</v>
      </c>
      <c r="V19" s="510" t="str">
        <f ca="1">U19&amp;" "&amp;Year_four_digits</f>
        <v>janvier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Jeu.  1 janvier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Jeu</v>
      </c>
      <c r="U20" s="186" t="str">
        <f ca="1">$U$19</f>
        <v>janvier</v>
      </c>
      <c r="X20" s="347">
        <f ca="1">$AE$8+D20</f>
        <v>46023</v>
      </c>
      <c r="Y20" s="452" t="str">
        <f ca="1">IF(Y14="f",T20&amp;". "&amp;" "&amp;R20&amp;" "&amp;U20&amp;" "&amp;$AE$7,T20&amp;". "&amp;U20&amp;" "&amp;R20&amp;", "&amp;$AE$7)</f>
        <v>Jeu.  1 janvier 2026</v>
      </c>
      <c r="Z20" s="143">
        <f t="shared" ref="Z20:Z83" ca="1" si="4">MIN(R20,$AF$5)</f>
        <v>1</v>
      </c>
      <c r="AA20" s="348">
        <f t="shared" ref="AA20:AA83" ca="1" si="5">$AD$6</f>
        <v>1</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Mer</v>
      </c>
      <c r="U21" s="186" t="str">
        <f t="shared" ref="U21:U84" ca="1" si="13">$U$19</f>
        <v>janvier</v>
      </c>
      <c r="X21" s="347">
        <f ca="1">$AE$8+D21</f>
        <v>46022</v>
      </c>
      <c r="Y21" s="452" t="str">
        <f t="shared" ref="Y21:Y84" ca="1" si="14">IF(Y15="f",T21&amp;". "&amp;" "&amp;R21&amp;" "&amp;U21&amp;" "&amp;$AE$7,T21&amp;". "&amp;U21&amp;" "&amp;R21&amp;", "&amp;$AE$7)</f>
        <v>Mer. janvier , 2026</v>
      </c>
      <c r="Z21" s="143">
        <f t="shared" ca="1" si="4"/>
        <v>31</v>
      </c>
      <c r="AA21" s="348">
        <f t="shared" ca="1" si="5"/>
        <v>1</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Mer</v>
      </c>
      <c r="U22" s="186" t="str">
        <f t="shared" ca="1" si="13"/>
        <v>janvier</v>
      </c>
      <c r="X22" s="347">
        <f t="shared" ref="X22:X85" ca="1" si="17">$AE$8+D22</f>
        <v>46022</v>
      </c>
      <c r="Y22" s="452" t="str">
        <f t="shared" ca="1" si="14"/>
        <v>Mer. janvier , 2026</v>
      </c>
      <c r="Z22" s="143">
        <f t="shared" ca="1" si="4"/>
        <v>31</v>
      </c>
      <c r="AA22" s="348">
        <f t="shared" ca="1" si="5"/>
        <v>1</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Mer</v>
      </c>
      <c r="U23" s="186" t="str">
        <f t="shared" ca="1" si="13"/>
        <v>janvier</v>
      </c>
      <c r="X23" s="347">
        <f t="shared" ca="1" si="17"/>
        <v>46022</v>
      </c>
      <c r="Y23" s="452" t="str">
        <f t="shared" ca="1" si="14"/>
        <v>Mer. janvier , 2026</v>
      </c>
      <c r="Z23" s="143">
        <f t="shared" ca="1" si="4"/>
        <v>31</v>
      </c>
      <c r="AA23" s="348">
        <f t="shared" ca="1" si="5"/>
        <v>1</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Mer</v>
      </c>
      <c r="U24" s="186" t="str">
        <f t="shared" ca="1" si="13"/>
        <v>janvier</v>
      </c>
      <c r="X24" s="347">
        <f t="shared" ca="1" si="17"/>
        <v>46022</v>
      </c>
      <c r="Y24" s="452" t="str">
        <f t="shared" ca="1" si="14"/>
        <v>Mer. janvier , 2026</v>
      </c>
      <c r="Z24" s="143">
        <f t="shared" ca="1" si="4"/>
        <v>31</v>
      </c>
      <c r="AA24" s="348">
        <f t="shared" ca="1" si="5"/>
        <v>1</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Mer</v>
      </c>
      <c r="U25" s="186" t="str">
        <f t="shared" ca="1" si="13"/>
        <v>janvier</v>
      </c>
      <c r="X25" s="347">
        <f t="shared" ca="1" si="17"/>
        <v>46022</v>
      </c>
      <c r="Y25" s="452" t="str">
        <f t="shared" ca="1" si="14"/>
        <v>Mer. janvier , 2026</v>
      </c>
      <c r="Z25" s="143">
        <f t="shared" ca="1" si="4"/>
        <v>31</v>
      </c>
      <c r="AA25" s="348">
        <f t="shared" ca="1" si="5"/>
        <v>1</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Mer</v>
      </c>
      <c r="U26" s="186" t="str">
        <f t="shared" ca="1" si="13"/>
        <v>janvier</v>
      </c>
      <c r="X26" s="347">
        <f t="shared" ca="1" si="17"/>
        <v>46022</v>
      </c>
      <c r="Y26" s="452" t="str">
        <f t="shared" ca="1" si="14"/>
        <v>Mer. janvier , 2026</v>
      </c>
      <c r="Z26" s="143">
        <f t="shared" ca="1" si="4"/>
        <v>31</v>
      </c>
      <c r="AA26" s="348">
        <f t="shared" ca="1" si="5"/>
        <v>1</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Mer</v>
      </c>
      <c r="U27" s="186" t="str">
        <f t="shared" ca="1" si="13"/>
        <v>janvier</v>
      </c>
      <c r="X27" s="347">
        <f t="shared" ca="1" si="17"/>
        <v>46022</v>
      </c>
      <c r="Y27" s="452" t="str">
        <f t="shared" ca="1" si="14"/>
        <v>Mer. janvier , 2026</v>
      </c>
      <c r="Z27" s="143">
        <f t="shared" ca="1" si="4"/>
        <v>31</v>
      </c>
      <c r="AA27" s="348">
        <f t="shared" ca="1" si="5"/>
        <v>1</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Mer</v>
      </c>
      <c r="U28" s="186" t="str">
        <f t="shared" ca="1" si="13"/>
        <v>janvier</v>
      </c>
      <c r="X28" s="347">
        <f t="shared" ca="1" si="17"/>
        <v>46022</v>
      </c>
      <c r="Y28" s="452" t="str">
        <f t="shared" ca="1" si="14"/>
        <v>Mer. janvier , 2026</v>
      </c>
      <c r="Z28" s="143">
        <f t="shared" ca="1" si="4"/>
        <v>31</v>
      </c>
      <c r="AA28" s="348">
        <f t="shared" ca="1" si="5"/>
        <v>1</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Mer</v>
      </c>
      <c r="U29" s="186" t="str">
        <f t="shared" ca="1" si="13"/>
        <v>janvier</v>
      </c>
      <c r="X29" s="347">
        <f t="shared" ca="1" si="17"/>
        <v>46022</v>
      </c>
      <c r="Y29" s="452" t="str">
        <f t="shared" ca="1" si="14"/>
        <v>Mer. janvier , 2026</v>
      </c>
      <c r="Z29" s="143">
        <f t="shared" ca="1" si="4"/>
        <v>31</v>
      </c>
      <c r="AA29" s="348">
        <f t="shared" ca="1" si="5"/>
        <v>1</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Mer</v>
      </c>
      <c r="U30" s="186" t="str">
        <f t="shared" ca="1" si="13"/>
        <v>janvier</v>
      </c>
      <c r="X30" s="347">
        <f t="shared" ca="1" si="17"/>
        <v>46022</v>
      </c>
      <c r="Y30" s="452" t="str">
        <f t="shared" ca="1" si="14"/>
        <v>Mer. janvier , 2026</v>
      </c>
      <c r="Z30" s="143">
        <f t="shared" ca="1" si="4"/>
        <v>31</v>
      </c>
      <c r="AA30" s="348">
        <f t="shared" ca="1" si="5"/>
        <v>1</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Mer</v>
      </c>
      <c r="U31" s="186" t="str">
        <f t="shared" ca="1" si="13"/>
        <v>janvier</v>
      </c>
      <c r="X31" s="347">
        <f t="shared" ca="1" si="17"/>
        <v>46022</v>
      </c>
      <c r="Y31" s="452" t="str">
        <f t="shared" ca="1" si="14"/>
        <v>Mer. janvier , 2026</v>
      </c>
      <c r="Z31" s="143">
        <f t="shared" ca="1" si="4"/>
        <v>31</v>
      </c>
      <c r="AA31" s="348">
        <f t="shared" ca="1" si="5"/>
        <v>1</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Mer</v>
      </c>
      <c r="U32" s="186" t="str">
        <f t="shared" ca="1" si="13"/>
        <v>janvier</v>
      </c>
      <c r="X32" s="347">
        <f t="shared" ca="1" si="17"/>
        <v>46022</v>
      </c>
      <c r="Y32" s="452" t="str">
        <f t="shared" ca="1" si="14"/>
        <v>Mer. janvier , 2026</v>
      </c>
      <c r="Z32" s="143">
        <f t="shared" ca="1" si="4"/>
        <v>31</v>
      </c>
      <c r="AA32" s="348">
        <f t="shared" ca="1" si="5"/>
        <v>1</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Mer</v>
      </c>
      <c r="U33" s="186" t="str">
        <f t="shared" ca="1" si="13"/>
        <v>janvier</v>
      </c>
      <c r="X33" s="347">
        <f t="shared" ca="1" si="17"/>
        <v>46022</v>
      </c>
      <c r="Y33" s="452" t="str">
        <f t="shared" ca="1" si="14"/>
        <v>Mer. janvier , 2026</v>
      </c>
      <c r="Z33" s="143">
        <f t="shared" ca="1" si="4"/>
        <v>31</v>
      </c>
      <c r="AA33" s="348">
        <f t="shared" ca="1" si="5"/>
        <v>1</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Mer</v>
      </c>
      <c r="U34" s="186" t="str">
        <f t="shared" ca="1" si="13"/>
        <v>janvier</v>
      </c>
      <c r="X34" s="347">
        <f t="shared" ca="1" si="17"/>
        <v>46022</v>
      </c>
      <c r="Y34" s="452" t="str">
        <f t="shared" ca="1" si="14"/>
        <v>Mer. janvier , 2026</v>
      </c>
      <c r="Z34" s="143">
        <f t="shared" ca="1" si="4"/>
        <v>31</v>
      </c>
      <c r="AA34" s="348">
        <f t="shared" ca="1" si="5"/>
        <v>1</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Mer</v>
      </c>
      <c r="U35" s="186" t="str">
        <f t="shared" ca="1" si="13"/>
        <v>janvier</v>
      </c>
      <c r="X35" s="347">
        <f t="shared" ca="1" si="17"/>
        <v>46022</v>
      </c>
      <c r="Y35" s="452" t="str">
        <f t="shared" ca="1" si="14"/>
        <v>Mer. janvier , 2026</v>
      </c>
      <c r="Z35" s="143">
        <f t="shared" ca="1" si="4"/>
        <v>31</v>
      </c>
      <c r="AA35" s="348">
        <f t="shared" ca="1" si="5"/>
        <v>1</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Mer</v>
      </c>
      <c r="U36" s="186" t="str">
        <f t="shared" ca="1" si="13"/>
        <v>janvier</v>
      </c>
      <c r="X36" s="347">
        <f t="shared" ca="1" si="17"/>
        <v>46022</v>
      </c>
      <c r="Y36" s="452" t="str">
        <f t="shared" ca="1" si="14"/>
        <v>Mer. janvier , 2026</v>
      </c>
      <c r="Z36" s="143">
        <f t="shared" ca="1" si="4"/>
        <v>31</v>
      </c>
      <c r="AA36" s="348">
        <f t="shared" ca="1" si="5"/>
        <v>1</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Mer</v>
      </c>
      <c r="U37" s="186" t="str">
        <f t="shared" ca="1" si="13"/>
        <v>janvier</v>
      </c>
      <c r="X37" s="347">
        <f t="shared" ca="1" si="17"/>
        <v>46022</v>
      </c>
      <c r="Y37" s="452" t="str">
        <f t="shared" ca="1" si="14"/>
        <v>Mer. janvier , 2026</v>
      </c>
      <c r="Z37" s="143">
        <f t="shared" ca="1" si="4"/>
        <v>31</v>
      </c>
      <c r="AA37" s="348">
        <f t="shared" ca="1" si="5"/>
        <v>1</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Mer</v>
      </c>
      <c r="U38" s="186" t="str">
        <f t="shared" ca="1" si="13"/>
        <v>janvier</v>
      </c>
      <c r="X38" s="347">
        <f t="shared" ca="1" si="17"/>
        <v>46022</v>
      </c>
      <c r="Y38" s="452" t="str">
        <f t="shared" ca="1" si="14"/>
        <v>Mer. janvier , 2026</v>
      </c>
      <c r="Z38" s="143">
        <f t="shared" ca="1" si="4"/>
        <v>31</v>
      </c>
      <c r="AA38" s="348">
        <f t="shared" ca="1" si="5"/>
        <v>1</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Mer</v>
      </c>
      <c r="U39" s="186" t="str">
        <f t="shared" ca="1" si="13"/>
        <v>janvier</v>
      </c>
      <c r="X39" s="347">
        <f t="shared" ca="1" si="17"/>
        <v>46022</v>
      </c>
      <c r="Y39" s="452" t="str">
        <f t="shared" ca="1" si="14"/>
        <v>Mer. janvier , 2026</v>
      </c>
      <c r="Z39" s="143">
        <f t="shared" ca="1" si="4"/>
        <v>31</v>
      </c>
      <c r="AA39" s="348">
        <f t="shared" ca="1" si="5"/>
        <v>1</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Mer</v>
      </c>
      <c r="U40" s="186" t="str">
        <f t="shared" ca="1" si="13"/>
        <v>janvier</v>
      </c>
      <c r="X40" s="347">
        <f t="shared" ca="1" si="17"/>
        <v>46022</v>
      </c>
      <c r="Y40" s="452" t="str">
        <f t="shared" ca="1" si="14"/>
        <v>Mer. janvier , 2026</v>
      </c>
      <c r="Z40" s="143">
        <f t="shared" ca="1" si="4"/>
        <v>31</v>
      </c>
      <c r="AA40" s="348">
        <f t="shared" ca="1" si="5"/>
        <v>1</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Mer</v>
      </c>
      <c r="U41" s="186" t="str">
        <f t="shared" ca="1" si="13"/>
        <v>janvier</v>
      </c>
      <c r="X41" s="347">
        <f t="shared" ca="1" si="17"/>
        <v>46022</v>
      </c>
      <c r="Y41" s="452" t="str">
        <f t="shared" ca="1" si="14"/>
        <v>Mer. janvier , 2026</v>
      </c>
      <c r="Z41" s="143">
        <f t="shared" ca="1" si="4"/>
        <v>31</v>
      </c>
      <c r="AA41" s="348">
        <f t="shared" ca="1" si="5"/>
        <v>1</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Mer</v>
      </c>
      <c r="U42" s="186" t="str">
        <f t="shared" ca="1" si="13"/>
        <v>janvier</v>
      </c>
      <c r="X42" s="347">
        <f t="shared" ca="1" si="17"/>
        <v>46022</v>
      </c>
      <c r="Y42" s="452" t="str">
        <f t="shared" ca="1" si="14"/>
        <v>Mer. janvier , 2026</v>
      </c>
      <c r="Z42" s="143">
        <f t="shared" ca="1" si="4"/>
        <v>31</v>
      </c>
      <c r="AA42" s="348">
        <f t="shared" ca="1" si="5"/>
        <v>1</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Mer</v>
      </c>
      <c r="U43" s="186" t="str">
        <f t="shared" ca="1" si="13"/>
        <v>janvier</v>
      </c>
      <c r="X43" s="347">
        <f t="shared" ca="1" si="17"/>
        <v>46022</v>
      </c>
      <c r="Y43" s="452" t="str">
        <f t="shared" ca="1" si="14"/>
        <v>Mer. janvier , 2026</v>
      </c>
      <c r="Z43" s="143">
        <f t="shared" ca="1" si="4"/>
        <v>31</v>
      </c>
      <c r="AA43" s="348">
        <f t="shared" ca="1" si="5"/>
        <v>1</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Mer</v>
      </c>
      <c r="U44" s="186" t="str">
        <f t="shared" ca="1" si="13"/>
        <v>janvier</v>
      </c>
      <c r="X44" s="347">
        <f t="shared" ca="1" si="17"/>
        <v>46022</v>
      </c>
      <c r="Y44" s="452" t="str">
        <f t="shared" ca="1" si="14"/>
        <v>Mer. janvier , 2026</v>
      </c>
      <c r="Z44" s="143">
        <f t="shared" ca="1" si="4"/>
        <v>31</v>
      </c>
      <c r="AA44" s="348">
        <f t="shared" ca="1" si="5"/>
        <v>1</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Mer</v>
      </c>
      <c r="U45" s="186" t="str">
        <f t="shared" ca="1" si="13"/>
        <v>janvier</v>
      </c>
      <c r="X45" s="347">
        <f t="shared" ca="1" si="17"/>
        <v>46022</v>
      </c>
      <c r="Y45" s="452" t="str">
        <f t="shared" ca="1" si="14"/>
        <v>Mer. janvier , 2026</v>
      </c>
      <c r="Z45" s="143">
        <f t="shared" ca="1" si="4"/>
        <v>31</v>
      </c>
      <c r="AA45" s="348">
        <f t="shared" ca="1" si="5"/>
        <v>1</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Mer</v>
      </c>
      <c r="U46" s="186" t="str">
        <f t="shared" ca="1" si="13"/>
        <v>janvier</v>
      </c>
      <c r="X46" s="347">
        <f t="shared" ca="1" si="17"/>
        <v>46022</v>
      </c>
      <c r="Y46" s="452" t="str">
        <f t="shared" ca="1" si="14"/>
        <v>Mer. janvier , 2026</v>
      </c>
      <c r="Z46" s="143">
        <f t="shared" ca="1" si="4"/>
        <v>31</v>
      </c>
      <c r="AA46" s="348">
        <f t="shared" ca="1" si="5"/>
        <v>1</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Mer</v>
      </c>
      <c r="U47" s="186" t="str">
        <f t="shared" ca="1" si="13"/>
        <v>janvier</v>
      </c>
      <c r="X47" s="347">
        <f t="shared" ca="1" si="17"/>
        <v>46022</v>
      </c>
      <c r="Y47" s="452" t="str">
        <f t="shared" ca="1" si="14"/>
        <v>Mer. janvier , 2026</v>
      </c>
      <c r="Z47" s="143">
        <f t="shared" ca="1" si="4"/>
        <v>31</v>
      </c>
      <c r="AA47" s="348">
        <f t="shared" ca="1" si="5"/>
        <v>1</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Mer</v>
      </c>
      <c r="U48" s="186" t="str">
        <f t="shared" ca="1" si="13"/>
        <v>janvier</v>
      </c>
      <c r="X48" s="347">
        <f t="shared" ca="1" si="17"/>
        <v>46022</v>
      </c>
      <c r="Y48" s="452" t="str">
        <f t="shared" ca="1" si="14"/>
        <v>Mer. janvier , 2026</v>
      </c>
      <c r="Z48" s="143">
        <f t="shared" ca="1" si="4"/>
        <v>31</v>
      </c>
      <c r="AA48" s="348">
        <f t="shared" ca="1" si="5"/>
        <v>1</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Mer</v>
      </c>
      <c r="U49" s="186" t="str">
        <f t="shared" ca="1" si="13"/>
        <v>janvier</v>
      </c>
      <c r="X49" s="347">
        <f t="shared" ca="1" si="17"/>
        <v>46022</v>
      </c>
      <c r="Y49" s="452" t="str">
        <f t="shared" ca="1" si="14"/>
        <v>Mer. janvier , 2026</v>
      </c>
      <c r="Z49" s="143">
        <f t="shared" ca="1" si="4"/>
        <v>31</v>
      </c>
      <c r="AA49" s="348">
        <f t="shared" ca="1" si="5"/>
        <v>1</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Mer</v>
      </c>
      <c r="U50" s="186" t="str">
        <f t="shared" ca="1" si="13"/>
        <v>janvier</v>
      </c>
      <c r="X50" s="347">
        <f t="shared" ca="1" si="17"/>
        <v>46022</v>
      </c>
      <c r="Y50" s="452" t="str">
        <f t="shared" ca="1" si="14"/>
        <v>Mer. janvier , 2026</v>
      </c>
      <c r="Z50" s="143">
        <f t="shared" ca="1" si="4"/>
        <v>31</v>
      </c>
      <c r="AA50" s="348">
        <f t="shared" ca="1" si="5"/>
        <v>1</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Mer</v>
      </c>
      <c r="U51" s="186" t="str">
        <f t="shared" ca="1" si="13"/>
        <v>janvier</v>
      </c>
      <c r="X51" s="347">
        <f t="shared" ca="1" si="17"/>
        <v>46022</v>
      </c>
      <c r="Y51" s="452" t="str">
        <f t="shared" ca="1" si="14"/>
        <v>Mer. janvier , 2026</v>
      </c>
      <c r="Z51" s="143">
        <f t="shared" ca="1" si="4"/>
        <v>31</v>
      </c>
      <c r="AA51" s="348">
        <f t="shared" ca="1" si="5"/>
        <v>1</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Mer</v>
      </c>
      <c r="U52" s="186" t="str">
        <f t="shared" ca="1" si="13"/>
        <v>janvier</v>
      </c>
      <c r="X52" s="347">
        <f t="shared" ca="1" si="17"/>
        <v>46022</v>
      </c>
      <c r="Y52" s="452" t="str">
        <f t="shared" ca="1" si="14"/>
        <v>Mer. janvier , 2026</v>
      </c>
      <c r="Z52" s="143">
        <f t="shared" ca="1" si="4"/>
        <v>31</v>
      </c>
      <c r="AA52" s="348">
        <f t="shared" ca="1" si="5"/>
        <v>1</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Mer</v>
      </c>
      <c r="U53" s="186" t="str">
        <f t="shared" ca="1" si="13"/>
        <v>janvier</v>
      </c>
      <c r="X53" s="347">
        <f t="shared" ca="1" si="17"/>
        <v>46022</v>
      </c>
      <c r="Y53" s="452" t="str">
        <f t="shared" ca="1" si="14"/>
        <v>Mer. janvier , 2026</v>
      </c>
      <c r="Z53" s="143">
        <f t="shared" ca="1" si="4"/>
        <v>31</v>
      </c>
      <c r="AA53" s="348">
        <f t="shared" ca="1" si="5"/>
        <v>1</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Mer</v>
      </c>
      <c r="U54" s="186" t="str">
        <f t="shared" ca="1" si="13"/>
        <v>janvier</v>
      </c>
      <c r="X54" s="347">
        <f t="shared" ca="1" si="17"/>
        <v>46022</v>
      </c>
      <c r="Y54" s="452" t="str">
        <f t="shared" ca="1" si="14"/>
        <v>Mer. janvier , 2026</v>
      </c>
      <c r="Z54" s="143">
        <f t="shared" ca="1" si="4"/>
        <v>31</v>
      </c>
      <c r="AA54" s="348">
        <f t="shared" ca="1" si="5"/>
        <v>1</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Mer</v>
      </c>
      <c r="U55" s="186" t="str">
        <f t="shared" ca="1" si="13"/>
        <v>janvier</v>
      </c>
      <c r="X55" s="347">
        <f t="shared" ca="1" si="17"/>
        <v>46022</v>
      </c>
      <c r="Y55" s="452" t="str">
        <f t="shared" ca="1" si="14"/>
        <v>Mer. janvier , 2026</v>
      </c>
      <c r="Z55" s="143">
        <f t="shared" ca="1" si="4"/>
        <v>31</v>
      </c>
      <c r="AA55" s="348">
        <f t="shared" ca="1" si="5"/>
        <v>1</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Mer</v>
      </c>
      <c r="U56" s="186" t="str">
        <f t="shared" ca="1" si="13"/>
        <v>janvier</v>
      </c>
      <c r="X56" s="347">
        <f t="shared" ca="1" si="17"/>
        <v>46022</v>
      </c>
      <c r="Y56" s="452" t="str">
        <f t="shared" ca="1" si="14"/>
        <v>Mer. janvier , 2026</v>
      </c>
      <c r="Z56" s="143">
        <f t="shared" ca="1" si="4"/>
        <v>31</v>
      </c>
      <c r="AA56" s="348">
        <f t="shared" ca="1" si="5"/>
        <v>1</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Mer</v>
      </c>
      <c r="U57" s="186" t="str">
        <f t="shared" ca="1" si="13"/>
        <v>janvier</v>
      </c>
      <c r="X57" s="347">
        <f t="shared" ca="1" si="17"/>
        <v>46022</v>
      </c>
      <c r="Y57" s="452" t="str">
        <f t="shared" ca="1" si="14"/>
        <v>Mer. janvier , 2026</v>
      </c>
      <c r="Z57" s="143">
        <f t="shared" ca="1" si="4"/>
        <v>31</v>
      </c>
      <c r="AA57" s="348">
        <f t="shared" ca="1" si="5"/>
        <v>1</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Mer</v>
      </c>
      <c r="U58" s="186" t="str">
        <f t="shared" ca="1" si="13"/>
        <v>janvier</v>
      </c>
      <c r="X58" s="347">
        <f t="shared" ca="1" si="17"/>
        <v>46022</v>
      </c>
      <c r="Y58" s="452" t="str">
        <f t="shared" ca="1" si="14"/>
        <v>Mer. janvier , 2026</v>
      </c>
      <c r="Z58" s="143">
        <f t="shared" ca="1" si="4"/>
        <v>31</v>
      </c>
      <c r="AA58" s="348">
        <f t="shared" ca="1" si="5"/>
        <v>1</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Mer</v>
      </c>
      <c r="U59" s="186" t="str">
        <f t="shared" ca="1" si="13"/>
        <v>janvier</v>
      </c>
      <c r="X59" s="347">
        <f t="shared" ca="1" si="17"/>
        <v>46022</v>
      </c>
      <c r="Y59" s="452" t="str">
        <f t="shared" ca="1" si="14"/>
        <v>Mer. janvier , 2026</v>
      </c>
      <c r="Z59" s="143">
        <f t="shared" ca="1" si="4"/>
        <v>31</v>
      </c>
      <c r="AA59" s="348">
        <f t="shared" ca="1" si="5"/>
        <v>1</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Mer</v>
      </c>
      <c r="U60" s="186" t="str">
        <f t="shared" ca="1" si="13"/>
        <v>janvier</v>
      </c>
      <c r="X60" s="347">
        <f t="shared" ca="1" si="17"/>
        <v>46022</v>
      </c>
      <c r="Y60" s="452" t="str">
        <f t="shared" ca="1" si="14"/>
        <v>Mer. janvier , 2026</v>
      </c>
      <c r="Z60" s="143">
        <f t="shared" ca="1" si="4"/>
        <v>31</v>
      </c>
      <c r="AA60" s="348">
        <f t="shared" ca="1" si="5"/>
        <v>1</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Mer</v>
      </c>
      <c r="U61" s="186" t="str">
        <f t="shared" ca="1" si="13"/>
        <v>janvier</v>
      </c>
      <c r="X61" s="347">
        <f t="shared" ca="1" si="17"/>
        <v>46022</v>
      </c>
      <c r="Y61" s="452" t="str">
        <f t="shared" ca="1" si="14"/>
        <v>Mer. janvier , 2026</v>
      </c>
      <c r="Z61" s="143">
        <f t="shared" ca="1" si="4"/>
        <v>31</v>
      </c>
      <c r="AA61" s="348">
        <f t="shared" ca="1" si="5"/>
        <v>1</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Mer</v>
      </c>
      <c r="U62" s="186" t="str">
        <f t="shared" ca="1" si="13"/>
        <v>janvier</v>
      </c>
      <c r="X62" s="347">
        <f t="shared" ca="1" si="17"/>
        <v>46022</v>
      </c>
      <c r="Y62" s="452" t="str">
        <f t="shared" ca="1" si="14"/>
        <v>Mer. janvier , 2026</v>
      </c>
      <c r="Z62" s="143">
        <f t="shared" ca="1" si="4"/>
        <v>31</v>
      </c>
      <c r="AA62" s="348">
        <f t="shared" ca="1" si="5"/>
        <v>1</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Mer</v>
      </c>
      <c r="U63" s="186" t="str">
        <f t="shared" ca="1" si="13"/>
        <v>janvier</v>
      </c>
      <c r="X63" s="347">
        <f t="shared" ca="1" si="17"/>
        <v>46022</v>
      </c>
      <c r="Y63" s="452" t="str">
        <f t="shared" ca="1" si="14"/>
        <v>Mer. janvier , 2026</v>
      </c>
      <c r="Z63" s="143">
        <f t="shared" ca="1" si="4"/>
        <v>31</v>
      </c>
      <c r="AA63" s="348">
        <f t="shared" ca="1" si="5"/>
        <v>1</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Mer</v>
      </c>
      <c r="U64" s="186" t="str">
        <f t="shared" ca="1" si="13"/>
        <v>janvier</v>
      </c>
      <c r="X64" s="347">
        <f t="shared" ca="1" si="17"/>
        <v>46022</v>
      </c>
      <c r="Y64" s="452" t="str">
        <f t="shared" ca="1" si="14"/>
        <v>Mer. janvier , 2026</v>
      </c>
      <c r="Z64" s="143">
        <f t="shared" ca="1" si="4"/>
        <v>31</v>
      </c>
      <c r="AA64" s="348">
        <f t="shared" ca="1" si="5"/>
        <v>1</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Mer</v>
      </c>
      <c r="U65" s="186" t="str">
        <f t="shared" ca="1" si="13"/>
        <v>janvier</v>
      </c>
      <c r="X65" s="347">
        <f t="shared" ca="1" si="17"/>
        <v>46022</v>
      </c>
      <c r="Y65" s="452" t="str">
        <f t="shared" ca="1" si="14"/>
        <v>Mer. janvier , 2026</v>
      </c>
      <c r="Z65" s="143">
        <f t="shared" ca="1" si="4"/>
        <v>31</v>
      </c>
      <c r="AA65" s="348">
        <f t="shared" ca="1" si="5"/>
        <v>1</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Mer</v>
      </c>
      <c r="U66" s="186" t="str">
        <f t="shared" ca="1" si="13"/>
        <v>janvier</v>
      </c>
      <c r="X66" s="347">
        <f t="shared" ca="1" si="17"/>
        <v>46022</v>
      </c>
      <c r="Y66" s="452" t="str">
        <f t="shared" ca="1" si="14"/>
        <v>Mer. janvier , 2026</v>
      </c>
      <c r="Z66" s="143">
        <f t="shared" ca="1" si="4"/>
        <v>31</v>
      </c>
      <c r="AA66" s="348">
        <f t="shared" ca="1" si="5"/>
        <v>1</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Mer</v>
      </c>
      <c r="U67" s="186" t="str">
        <f t="shared" ca="1" si="13"/>
        <v>janvier</v>
      </c>
      <c r="X67" s="347">
        <f t="shared" ca="1" si="17"/>
        <v>46022</v>
      </c>
      <c r="Y67" s="452" t="str">
        <f t="shared" ca="1" si="14"/>
        <v>Mer. janvier , 2026</v>
      </c>
      <c r="Z67" s="143">
        <f t="shared" ca="1" si="4"/>
        <v>31</v>
      </c>
      <c r="AA67" s="348">
        <f t="shared" ca="1" si="5"/>
        <v>1</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Mer</v>
      </c>
      <c r="U68" s="186" t="str">
        <f t="shared" ca="1" si="13"/>
        <v>janvier</v>
      </c>
      <c r="X68" s="347">
        <f t="shared" ca="1" si="17"/>
        <v>46022</v>
      </c>
      <c r="Y68" s="452" t="str">
        <f t="shared" ca="1" si="14"/>
        <v>Mer. janvier , 2026</v>
      </c>
      <c r="Z68" s="143">
        <f t="shared" ca="1" si="4"/>
        <v>31</v>
      </c>
      <c r="AA68" s="348">
        <f t="shared" ca="1" si="5"/>
        <v>1</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Mer</v>
      </c>
      <c r="U69" s="186" t="str">
        <f t="shared" ca="1" si="13"/>
        <v>janvier</v>
      </c>
      <c r="X69" s="347">
        <f t="shared" ca="1" si="17"/>
        <v>46022</v>
      </c>
      <c r="Y69" s="452" t="str">
        <f t="shared" ca="1" si="14"/>
        <v>Mer. janvier , 2026</v>
      </c>
      <c r="Z69" s="143">
        <f t="shared" ca="1" si="4"/>
        <v>31</v>
      </c>
      <c r="AA69" s="348">
        <f t="shared" ca="1" si="5"/>
        <v>1</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Mer</v>
      </c>
      <c r="U70" s="186" t="str">
        <f t="shared" ca="1" si="13"/>
        <v>janvier</v>
      </c>
      <c r="X70" s="347">
        <f t="shared" ca="1" si="17"/>
        <v>46022</v>
      </c>
      <c r="Y70" s="452" t="str">
        <f t="shared" ca="1" si="14"/>
        <v>Mer. janvier , 2026</v>
      </c>
      <c r="Z70" s="143">
        <f t="shared" ca="1" si="4"/>
        <v>31</v>
      </c>
      <c r="AA70" s="348">
        <f t="shared" ca="1" si="5"/>
        <v>1</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Mer</v>
      </c>
      <c r="U71" s="186" t="str">
        <f t="shared" ca="1" si="13"/>
        <v>janvier</v>
      </c>
      <c r="X71" s="347">
        <f t="shared" ca="1" si="17"/>
        <v>46022</v>
      </c>
      <c r="Y71" s="452" t="str">
        <f t="shared" ca="1" si="14"/>
        <v>Mer. janvier , 2026</v>
      </c>
      <c r="Z71" s="143">
        <f t="shared" ca="1" si="4"/>
        <v>31</v>
      </c>
      <c r="AA71" s="348">
        <f t="shared" ca="1" si="5"/>
        <v>1</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Mer</v>
      </c>
      <c r="U72" s="186" t="str">
        <f t="shared" ca="1" si="13"/>
        <v>janvier</v>
      </c>
      <c r="X72" s="347">
        <f t="shared" ca="1" si="17"/>
        <v>46022</v>
      </c>
      <c r="Y72" s="452" t="str">
        <f t="shared" ca="1" si="14"/>
        <v>Mer. janvier , 2026</v>
      </c>
      <c r="Z72" s="143">
        <f t="shared" ca="1" si="4"/>
        <v>31</v>
      </c>
      <c r="AA72" s="348">
        <f t="shared" ca="1" si="5"/>
        <v>1</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Mer</v>
      </c>
      <c r="U73" s="186" t="str">
        <f t="shared" ca="1" si="13"/>
        <v>janvier</v>
      </c>
      <c r="X73" s="347">
        <f t="shared" ca="1" si="17"/>
        <v>46022</v>
      </c>
      <c r="Y73" s="452" t="str">
        <f t="shared" ca="1" si="14"/>
        <v>Mer. janvier , 2026</v>
      </c>
      <c r="Z73" s="143">
        <f t="shared" ca="1" si="4"/>
        <v>31</v>
      </c>
      <c r="AA73" s="348">
        <f t="shared" ca="1" si="5"/>
        <v>1</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Mer</v>
      </c>
      <c r="U74" s="186" t="str">
        <f t="shared" ca="1" si="13"/>
        <v>janvier</v>
      </c>
      <c r="X74" s="347">
        <f t="shared" ca="1" si="17"/>
        <v>46022</v>
      </c>
      <c r="Y74" s="452" t="str">
        <f t="shared" ca="1" si="14"/>
        <v>Mer. janvier , 2026</v>
      </c>
      <c r="Z74" s="143">
        <f t="shared" ca="1" si="4"/>
        <v>31</v>
      </c>
      <c r="AA74" s="348">
        <f t="shared" ca="1" si="5"/>
        <v>1</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Mer</v>
      </c>
      <c r="U75" s="186" t="str">
        <f t="shared" ca="1" si="13"/>
        <v>janvier</v>
      </c>
      <c r="X75" s="347">
        <f t="shared" ca="1" si="17"/>
        <v>46022</v>
      </c>
      <c r="Y75" s="452" t="str">
        <f t="shared" ca="1" si="14"/>
        <v>Mer. janvier , 2026</v>
      </c>
      <c r="Z75" s="143">
        <f t="shared" ca="1" si="4"/>
        <v>31</v>
      </c>
      <c r="AA75" s="348">
        <f t="shared" ca="1" si="5"/>
        <v>1</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Mer</v>
      </c>
      <c r="U76" s="186" t="str">
        <f t="shared" ca="1" si="13"/>
        <v>janvier</v>
      </c>
      <c r="X76" s="347">
        <f t="shared" ca="1" si="17"/>
        <v>46022</v>
      </c>
      <c r="Y76" s="452" t="str">
        <f t="shared" ca="1" si="14"/>
        <v>Mer. janvier , 2026</v>
      </c>
      <c r="Z76" s="143">
        <f t="shared" ca="1" si="4"/>
        <v>31</v>
      </c>
      <c r="AA76" s="348">
        <f t="shared" ca="1" si="5"/>
        <v>1</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Mer</v>
      </c>
      <c r="U77" s="186" t="str">
        <f t="shared" ca="1" si="13"/>
        <v>janvier</v>
      </c>
      <c r="X77" s="347">
        <f t="shared" ca="1" si="17"/>
        <v>46022</v>
      </c>
      <c r="Y77" s="452" t="str">
        <f t="shared" ca="1" si="14"/>
        <v>Mer. janvier , 2026</v>
      </c>
      <c r="Z77" s="143">
        <f t="shared" ca="1" si="4"/>
        <v>31</v>
      </c>
      <c r="AA77" s="348">
        <f t="shared" ca="1" si="5"/>
        <v>1</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Mer</v>
      </c>
      <c r="U78" s="186" t="str">
        <f t="shared" ca="1" si="13"/>
        <v>janvier</v>
      </c>
      <c r="X78" s="347">
        <f t="shared" ca="1" si="17"/>
        <v>46022</v>
      </c>
      <c r="Y78" s="452" t="str">
        <f t="shared" ca="1" si="14"/>
        <v>Mer. janvier , 2026</v>
      </c>
      <c r="Z78" s="143">
        <f t="shared" ca="1" si="4"/>
        <v>31</v>
      </c>
      <c r="AA78" s="348">
        <f t="shared" ca="1" si="5"/>
        <v>1</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Mer</v>
      </c>
      <c r="U79" s="186" t="str">
        <f t="shared" ca="1" si="13"/>
        <v>janvier</v>
      </c>
      <c r="X79" s="347">
        <f t="shared" ca="1" si="17"/>
        <v>46022</v>
      </c>
      <c r="Y79" s="452" t="str">
        <f t="shared" ca="1" si="14"/>
        <v>Mer. janvier , 2026</v>
      </c>
      <c r="Z79" s="143">
        <f t="shared" ca="1" si="4"/>
        <v>31</v>
      </c>
      <c r="AA79" s="348">
        <f t="shared" ca="1" si="5"/>
        <v>1</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Mer</v>
      </c>
      <c r="U80" s="186" t="str">
        <f t="shared" ca="1" si="13"/>
        <v>janvier</v>
      </c>
      <c r="X80" s="347">
        <f t="shared" ca="1" si="17"/>
        <v>46022</v>
      </c>
      <c r="Y80" s="452" t="str">
        <f t="shared" ca="1" si="14"/>
        <v>Mer. janvier , 2026</v>
      </c>
      <c r="Z80" s="143">
        <f t="shared" ca="1" si="4"/>
        <v>31</v>
      </c>
      <c r="AA80" s="348">
        <f t="shared" ca="1" si="5"/>
        <v>1</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Mer</v>
      </c>
      <c r="U81" s="186" t="str">
        <f t="shared" ca="1" si="13"/>
        <v>janvier</v>
      </c>
      <c r="X81" s="347">
        <f t="shared" ca="1" si="17"/>
        <v>46022</v>
      </c>
      <c r="Y81" s="452" t="str">
        <f t="shared" ca="1" si="14"/>
        <v>Mer. janvier , 2026</v>
      </c>
      <c r="Z81" s="143">
        <f t="shared" ca="1" si="4"/>
        <v>31</v>
      </c>
      <c r="AA81" s="348">
        <f t="shared" ca="1" si="5"/>
        <v>1</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Mer</v>
      </c>
      <c r="U82" s="186" t="str">
        <f t="shared" ca="1" si="13"/>
        <v>janvier</v>
      </c>
      <c r="X82" s="347">
        <f t="shared" ca="1" si="17"/>
        <v>46022</v>
      </c>
      <c r="Y82" s="452" t="str">
        <f t="shared" ca="1" si="14"/>
        <v>Mer. janvier , 2026</v>
      </c>
      <c r="Z82" s="143">
        <f t="shared" ca="1" si="4"/>
        <v>31</v>
      </c>
      <c r="AA82" s="348">
        <f t="shared" ca="1" si="5"/>
        <v>1</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Mer</v>
      </c>
      <c r="U83" s="186" t="str">
        <f t="shared" ca="1" si="13"/>
        <v>janvier</v>
      </c>
      <c r="X83" s="347">
        <f t="shared" ca="1" si="17"/>
        <v>46022</v>
      </c>
      <c r="Y83" s="452" t="str">
        <f t="shared" ca="1" si="14"/>
        <v>Mer. janvier , 2026</v>
      </c>
      <c r="Z83" s="143">
        <f t="shared" ca="1" si="4"/>
        <v>31</v>
      </c>
      <c r="AA83" s="348">
        <f t="shared" ca="1" si="5"/>
        <v>1</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Mer</v>
      </c>
      <c r="U84" s="186" t="str">
        <f t="shared" ca="1" si="13"/>
        <v>janvier</v>
      </c>
      <c r="X84" s="347">
        <f t="shared" ca="1" si="17"/>
        <v>46022</v>
      </c>
      <c r="Y84" s="452" t="str">
        <f t="shared" ca="1" si="14"/>
        <v>Mer. janvier , 2026</v>
      </c>
      <c r="Z84" s="143">
        <f t="shared" ref="Z84:Z147" ca="1" si="24">MIN(R84,$AF$5)</f>
        <v>31</v>
      </c>
      <c r="AA84" s="348">
        <f t="shared" ref="AA84:AA147" ca="1" si="25">$AD$6</f>
        <v>1</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Mer</v>
      </c>
      <c r="U85" s="186" t="str">
        <f t="shared" ref="U85:U148" ca="1" si="32">$U$19</f>
        <v>janvier</v>
      </c>
      <c r="X85" s="347">
        <f t="shared" ca="1" si="17"/>
        <v>46022</v>
      </c>
      <c r="Y85" s="452" t="str">
        <f t="shared" ref="Y85:Y148" ca="1" si="33">IF(Y79="f",T85&amp;". "&amp;" "&amp;R85&amp;" "&amp;U85&amp;" "&amp;$AE$7,T85&amp;". "&amp;U85&amp;" "&amp;R85&amp;", "&amp;$AE$7)</f>
        <v>Mer. janvier , 2026</v>
      </c>
      <c r="Z85" s="143">
        <f t="shared" ca="1" si="24"/>
        <v>31</v>
      </c>
      <c r="AA85" s="348">
        <f t="shared" ca="1" si="25"/>
        <v>1</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Mer</v>
      </c>
      <c r="U86" s="186" t="str">
        <f t="shared" ca="1" si="32"/>
        <v>janvier</v>
      </c>
      <c r="X86" s="347">
        <f t="shared" ref="X86:X149" ca="1" si="36">$AE$8+D86</f>
        <v>46022</v>
      </c>
      <c r="Y86" s="452" t="str">
        <f t="shared" ca="1" si="33"/>
        <v>Mer. janvier , 2026</v>
      </c>
      <c r="Z86" s="143">
        <f t="shared" ca="1" si="24"/>
        <v>31</v>
      </c>
      <c r="AA86" s="348">
        <f t="shared" ca="1" si="25"/>
        <v>1</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Mer</v>
      </c>
      <c r="U87" s="186" t="str">
        <f t="shared" ca="1" si="32"/>
        <v>janvier</v>
      </c>
      <c r="X87" s="347">
        <f t="shared" ca="1" si="36"/>
        <v>46022</v>
      </c>
      <c r="Y87" s="452" t="str">
        <f t="shared" ca="1" si="33"/>
        <v>Mer. janvier , 2026</v>
      </c>
      <c r="Z87" s="143">
        <f t="shared" ca="1" si="24"/>
        <v>31</v>
      </c>
      <c r="AA87" s="348">
        <f t="shared" ca="1" si="25"/>
        <v>1</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Mer</v>
      </c>
      <c r="U88" s="186" t="str">
        <f t="shared" ca="1" si="32"/>
        <v>janvier</v>
      </c>
      <c r="X88" s="347">
        <f t="shared" ca="1" si="36"/>
        <v>46022</v>
      </c>
      <c r="Y88" s="452" t="str">
        <f t="shared" ca="1" si="33"/>
        <v>Mer. janvier , 2026</v>
      </c>
      <c r="Z88" s="143">
        <f t="shared" ca="1" si="24"/>
        <v>31</v>
      </c>
      <c r="AA88" s="348">
        <f t="shared" ca="1" si="25"/>
        <v>1</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Mer</v>
      </c>
      <c r="U89" s="186" t="str">
        <f t="shared" ca="1" si="32"/>
        <v>janvier</v>
      </c>
      <c r="X89" s="347">
        <f t="shared" ca="1" si="36"/>
        <v>46022</v>
      </c>
      <c r="Y89" s="452" t="str">
        <f t="shared" ca="1" si="33"/>
        <v>Mer. janvier , 2026</v>
      </c>
      <c r="Z89" s="143">
        <f t="shared" ca="1" si="24"/>
        <v>31</v>
      </c>
      <c r="AA89" s="348">
        <f t="shared" ca="1" si="25"/>
        <v>1</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Mer</v>
      </c>
      <c r="U90" s="186" t="str">
        <f t="shared" ca="1" si="32"/>
        <v>janvier</v>
      </c>
      <c r="X90" s="347">
        <f t="shared" ca="1" si="36"/>
        <v>46022</v>
      </c>
      <c r="Y90" s="452" t="str">
        <f t="shared" ca="1" si="33"/>
        <v>Mer. janvier , 2026</v>
      </c>
      <c r="Z90" s="143">
        <f t="shared" ca="1" si="24"/>
        <v>31</v>
      </c>
      <c r="AA90" s="348">
        <f t="shared" ca="1" si="25"/>
        <v>1</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Mer</v>
      </c>
      <c r="U91" s="186" t="str">
        <f t="shared" ca="1" si="32"/>
        <v>janvier</v>
      </c>
      <c r="X91" s="347">
        <f t="shared" ca="1" si="36"/>
        <v>46022</v>
      </c>
      <c r="Y91" s="452" t="str">
        <f t="shared" ca="1" si="33"/>
        <v>Mer. janvier , 2026</v>
      </c>
      <c r="Z91" s="143">
        <f t="shared" ca="1" si="24"/>
        <v>31</v>
      </c>
      <c r="AA91" s="348">
        <f t="shared" ca="1" si="25"/>
        <v>1</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Mer</v>
      </c>
      <c r="U92" s="186" t="str">
        <f t="shared" ca="1" si="32"/>
        <v>janvier</v>
      </c>
      <c r="X92" s="347">
        <f t="shared" ca="1" si="36"/>
        <v>46022</v>
      </c>
      <c r="Y92" s="452" t="str">
        <f t="shared" ca="1" si="33"/>
        <v>Mer. janvier , 2026</v>
      </c>
      <c r="Z92" s="143">
        <f t="shared" ca="1" si="24"/>
        <v>31</v>
      </c>
      <c r="AA92" s="348">
        <f t="shared" ca="1" si="25"/>
        <v>1</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Mer</v>
      </c>
      <c r="U93" s="186" t="str">
        <f t="shared" ca="1" si="32"/>
        <v>janvier</v>
      </c>
      <c r="X93" s="347">
        <f t="shared" ca="1" si="36"/>
        <v>46022</v>
      </c>
      <c r="Y93" s="452" t="str">
        <f t="shared" ca="1" si="33"/>
        <v>Mer. janvier , 2026</v>
      </c>
      <c r="Z93" s="143">
        <f t="shared" ca="1" si="24"/>
        <v>31</v>
      </c>
      <c r="AA93" s="348">
        <f t="shared" ca="1" si="25"/>
        <v>1</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Mer</v>
      </c>
      <c r="U94" s="186" t="str">
        <f t="shared" ca="1" si="32"/>
        <v>janvier</v>
      </c>
      <c r="X94" s="347">
        <f t="shared" ca="1" si="36"/>
        <v>46022</v>
      </c>
      <c r="Y94" s="452" t="str">
        <f t="shared" ca="1" si="33"/>
        <v>Mer. janvier , 2026</v>
      </c>
      <c r="Z94" s="143">
        <f t="shared" ca="1" si="24"/>
        <v>31</v>
      </c>
      <c r="AA94" s="348">
        <f t="shared" ca="1" si="25"/>
        <v>1</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Mer</v>
      </c>
      <c r="U95" s="186" t="str">
        <f t="shared" ca="1" si="32"/>
        <v>janvier</v>
      </c>
      <c r="X95" s="347">
        <f t="shared" ca="1" si="36"/>
        <v>46022</v>
      </c>
      <c r="Y95" s="452" t="str">
        <f t="shared" ca="1" si="33"/>
        <v>Mer. janvier , 2026</v>
      </c>
      <c r="Z95" s="143">
        <f t="shared" ca="1" si="24"/>
        <v>31</v>
      </c>
      <c r="AA95" s="348">
        <f t="shared" ca="1" si="25"/>
        <v>1</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Mer</v>
      </c>
      <c r="U96" s="186" t="str">
        <f t="shared" ca="1" si="32"/>
        <v>janvier</v>
      </c>
      <c r="X96" s="347">
        <f t="shared" ca="1" si="36"/>
        <v>46022</v>
      </c>
      <c r="Y96" s="452" t="str">
        <f t="shared" ca="1" si="33"/>
        <v>Mer. janvier , 2026</v>
      </c>
      <c r="Z96" s="143">
        <f t="shared" ca="1" si="24"/>
        <v>31</v>
      </c>
      <c r="AA96" s="348">
        <f t="shared" ca="1" si="25"/>
        <v>1</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Mer</v>
      </c>
      <c r="U97" s="186" t="str">
        <f t="shared" ca="1" si="32"/>
        <v>janvier</v>
      </c>
      <c r="X97" s="347">
        <f t="shared" ca="1" si="36"/>
        <v>46022</v>
      </c>
      <c r="Y97" s="452" t="str">
        <f t="shared" ca="1" si="33"/>
        <v>Mer. janvier , 2026</v>
      </c>
      <c r="Z97" s="143">
        <f t="shared" ca="1" si="24"/>
        <v>31</v>
      </c>
      <c r="AA97" s="348">
        <f t="shared" ca="1" si="25"/>
        <v>1</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Mer</v>
      </c>
      <c r="U98" s="186" t="str">
        <f t="shared" ca="1" si="32"/>
        <v>janvier</v>
      </c>
      <c r="X98" s="347">
        <f t="shared" ca="1" si="36"/>
        <v>46022</v>
      </c>
      <c r="Y98" s="452" t="str">
        <f t="shared" ca="1" si="33"/>
        <v>Mer. janvier , 2026</v>
      </c>
      <c r="Z98" s="143">
        <f t="shared" ca="1" si="24"/>
        <v>31</v>
      </c>
      <c r="AA98" s="348">
        <f t="shared" ca="1" si="25"/>
        <v>1</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Mer</v>
      </c>
      <c r="U99" s="186" t="str">
        <f t="shared" ca="1" si="32"/>
        <v>janvier</v>
      </c>
      <c r="X99" s="347">
        <f t="shared" ca="1" si="36"/>
        <v>46022</v>
      </c>
      <c r="Y99" s="452" t="str">
        <f t="shared" ca="1" si="33"/>
        <v>Mer. janvier , 2026</v>
      </c>
      <c r="Z99" s="143">
        <f t="shared" ca="1" si="24"/>
        <v>31</v>
      </c>
      <c r="AA99" s="348">
        <f t="shared" ca="1" si="25"/>
        <v>1</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Mer</v>
      </c>
      <c r="U100" s="186" t="str">
        <f t="shared" ca="1" si="32"/>
        <v>janvier</v>
      </c>
      <c r="X100" s="347">
        <f t="shared" ca="1" si="36"/>
        <v>46022</v>
      </c>
      <c r="Y100" s="452" t="str">
        <f t="shared" ca="1" si="33"/>
        <v>Mer. janvier , 2026</v>
      </c>
      <c r="Z100" s="143">
        <f t="shared" ca="1" si="24"/>
        <v>31</v>
      </c>
      <c r="AA100" s="348">
        <f t="shared" ca="1" si="25"/>
        <v>1</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Mer</v>
      </c>
      <c r="U101" s="186" t="str">
        <f t="shared" ca="1" si="32"/>
        <v>janvier</v>
      </c>
      <c r="X101" s="347">
        <f t="shared" ca="1" si="36"/>
        <v>46022</v>
      </c>
      <c r="Y101" s="452" t="str">
        <f t="shared" ca="1" si="33"/>
        <v>Mer. janvier , 2026</v>
      </c>
      <c r="Z101" s="143">
        <f t="shared" ca="1" si="24"/>
        <v>31</v>
      </c>
      <c r="AA101" s="348">
        <f t="shared" ca="1" si="25"/>
        <v>1</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Mer</v>
      </c>
      <c r="U102" s="186" t="str">
        <f t="shared" ca="1" si="32"/>
        <v>janvier</v>
      </c>
      <c r="X102" s="347">
        <f t="shared" ca="1" si="36"/>
        <v>46022</v>
      </c>
      <c r="Y102" s="452" t="str">
        <f t="shared" ca="1" si="33"/>
        <v>Mer. janvier , 2026</v>
      </c>
      <c r="Z102" s="143">
        <f t="shared" ca="1" si="24"/>
        <v>31</v>
      </c>
      <c r="AA102" s="348">
        <f t="shared" ca="1" si="25"/>
        <v>1</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Mer</v>
      </c>
      <c r="U103" s="186" t="str">
        <f t="shared" ca="1" si="32"/>
        <v>janvier</v>
      </c>
      <c r="X103" s="347">
        <f t="shared" ca="1" si="36"/>
        <v>46022</v>
      </c>
      <c r="Y103" s="452" t="str">
        <f t="shared" ca="1" si="33"/>
        <v>Mer. janvier , 2026</v>
      </c>
      <c r="Z103" s="143">
        <f t="shared" ca="1" si="24"/>
        <v>31</v>
      </c>
      <c r="AA103" s="348">
        <f t="shared" ca="1" si="25"/>
        <v>1</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Mer</v>
      </c>
      <c r="U104" s="186" t="str">
        <f t="shared" ca="1" si="32"/>
        <v>janvier</v>
      </c>
      <c r="X104" s="347">
        <f t="shared" ca="1" si="36"/>
        <v>46022</v>
      </c>
      <c r="Y104" s="452" t="str">
        <f t="shared" ca="1" si="33"/>
        <v>Mer. janvier , 2026</v>
      </c>
      <c r="Z104" s="143">
        <f t="shared" ca="1" si="24"/>
        <v>31</v>
      </c>
      <c r="AA104" s="348">
        <f t="shared" ca="1" si="25"/>
        <v>1</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Mer</v>
      </c>
      <c r="U105" s="186" t="str">
        <f t="shared" ca="1" si="32"/>
        <v>janvier</v>
      </c>
      <c r="X105" s="347">
        <f t="shared" ca="1" si="36"/>
        <v>46022</v>
      </c>
      <c r="Y105" s="452" t="str">
        <f t="shared" ca="1" si="33"/>
        <v>Mer. janvier , 2026</v>
      </c>
      <c r="Z105" s="143">
        <f t="shared" ca="1" si="24"/>
        <v>31</v>
      </c>
      <c r="AA105" s="348">
        <f t="shared" ca="1" si="25"/>
        <v>1</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Mer</v>
      </c>
      <c r="U106" s="186" t="str">
        <f t="shared" ca="1" si="32"/>
        <v>janvier</v>
      </c>
      <c r="X106" s="347">
        <f t="shared" ca="1" si="36"/>
        <v>46022</v>
      </c>
      <c r="Y106" s="452" t="str">
        <f t="shared" ca="1" si="33"/>
        <v>Mer. janvier , 2026</v>
      </c>
      <c r="Z106" s="143">
        <f t="shared" ca="1" si="24"/>
        <v>31</v>
      </c>
      <c r="AA106" s="348">
        <f t="shared" ca="1" si="25"/>
        <v>1</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Mer</v>
      </c>
      <c r="U107" s="186" t="str">
        <f t="shared" ca="1" si="32"/>
        <v>janvier</v>
      </c>
      <c r="X107" s="347">
        <f t="shared" ca="1" si="36"/>
        <v>46022</v>
      </c>
      <c r="Y107" s="452" t="str">
        <f t="shared" ca="1" si="33"/>
        <v>Mer. janvier , 2026</v>
      </c>
      <c r="Z107" s="143">
        <f t="shared" ca="1" si="24"/>
        <v>31</v>
      </c>
      <c r="AA107" s="348">
        <f t="shared" ca="1" si="25"/>
        <v>1</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Mer</v>
      </c>
      <c r="U108" s="186" t="str">
        <f t="shared" ca="1" si="32"/>
        <v>janvier</v>
      </c>
      <c r="X108" s="347">
        <f t="shared" ca="1" si="36"/>
        <v>46022</v>
      </c>
      <c r="Y108" s="452" t="str">
        <f t="shared" ca="1" si="33"/>
        <v>Mer. janvier , 2026</v>
      </c>
      <c r="Z108" s="143">
        <f t="shared" ca="1" si="24"/>
        <v>31</v>
      </c>
      <c r="AA108" s="348">
        <f t="shared" ca="1" si="25"/>
        <v>1</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Mer</v>
      </c>
      <c r="U109" s="186" t="str">
        <f t="shared" ca="1" si="32"/>
        <v>janvier</v>
      </c>
      <c r="X109" s="347">
        <f t="shared" ca="1" si="36"/>
        <v>46022</v>
      </c>
      <c r="Y109" s="452" t="str">
        <f t="shared" ca="1" si="33"/>
        <v>Mer. janvier , 2026</v>
      </c>
      <c r="Z109" s="143">
        <f t="shared" ca="1" si="24"/>
        <v>31</v>
      </c>
      <c r="AA109" s="348">
        <f t="shared" ca="1" si="25"/>
        <v>1</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Mer</v>
      </c>
      <c r="U110" s="186" t="str">
        <f t="shared" ca="1" si="32"/>
        <v>janvier</v>
      </c>
      <c r="X110" s="347">
        <f t="shared" ca="1" si="36"/>
        <v>46022</v>
      </c>
      <c r="Y110" s="452" t="str">
        <f t="shared" ca="1" si="33"/>
        <v>Mer. janvier , 2026</v>
      </c>
      <c r="Z110" s="143">
        <f t="shared" ca="1" si="24"/>
        <v>31</v>
      </c>
      <c r="AA110" s="348">
        <f t="shared" ca="1" si="25"/>
        <v>1</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Mer</v>
      </c>
      <c r="U111" s="186" t="str">
        <f t="shared" ca="1" si="32"/>
        <v>janvier</v>
      </c>
      <c r="X111" s="347">
        <f t="shared" ca="1" si="36"/>
        <v>46022</v>
      </c>
      <c r="Y111" s="452" t="str">
        <f t="shared" ca="1" si="33"/>
        <v>Mer. janvier , 2026</v>
      </c>
      <c r="Z111" s="143">
        <f t="shared" ca="1" si="24"/>
        <v>31</v>
      </c>
      <c r="AA111" s="348">
        <f t="shared" ca="1" si="25"/>
        <v>1</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Mer</v>
      </c>
      <c r="U112" s="186" t="str">
        <f t="shared" ca="1" si="32"/>
        <v>janvier</v>
      </c>
      <c r="X112" s="347">
        <f t="shared" ca="1" si="36"/>
        <v>46022</v>
      </c>
      <c r="Y112" s="452" t="str">
        <f t="shared" ca="1" si="33"/>
        <v>Mer. janvier , 2026</v>
      </c>
      <c r="Z112" s="143">
        <f t="shared" ca="1" si="24"/>
        <v>31</v>
      </c>
      <c r="AA112" s="348">
        <f t="shared" ca="1" si="25"/>
        <v>1</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Mer</v>
      </c>
      <c r="U113" s="186" t="str">
        <f t="shared" ca="1" si="32"/>
        <v>janvier</v>
      </c>
      <c r="X113" s="347">
        <f t="shared" ca="1" si="36"/>
        <v>46022</v>
      </c>
      <c r="Y113" s="452" t="str">
        <f t="shared" ca="1" si="33"/>
        <v>Mer. janvier , 2026</v>
      </c>
      <c r="Z113" s="143">
        <f t="shared" ca="1" si="24"/>
        <v>31</v>
      </c>
      <c r="AA113" s="348">
        <f t="shared" ca="1" si="25"/>
        <v>1</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Mer</v>
      </c>
      <c r="U114" s="186" t="str">
        <f t="shared" ca="1" si="32"/>
        <v>janvier</v>
      </c>
      <c r="X114" s="347">
        <f t="shared" ca="1" si="36"/>
        <v>46022</v>
      </c>
      <c r="Y114" s="452" t="str">
        <f t="shared" ca="1" si="33"/>
        <v>Mer. janvier , 2026</v>
      </c>
      <c r="Z114" s="143">
        <f t="shared" ca="1" si="24"/>
        <v>31</v>
      </c>
      <c r="AA114" s="348">
        <f t="shared" ca="1" si="25"/>
        <v>1</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Mer</v>
      </c>
      <c r="U115" s="186" t="str">
        <f t="shared" ca="1" si="32"/>
        <v>janvier</v>
      </c>
      <c r="X115" s="347">
        <f t="shared" ca="1" si="36"/>
        <v>46022</v>
      </c>
      <c r="Y115" s="452" t="str">
        <f t="shared" ca="1" si="33"/>
        <v>Mer. janvier , 2026</v>
      </c>
      <c r="Z115" s="143">
        <f t="shared" ca="1" si="24"/>
        <v>31</v>
      </c>
      <c r="AA115" s="348">
        <f t="shared" ca="1" si="25"/>
        <v>1</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Mer</v>
      </c>
      <c r="U116" s="186" t="str">
        <f t="shared" ca="1" si="32"/>
        <v>janvier</v>
      </c>
      <c r="X116" s="347">
        <f t="shared" ca="1" si="36"/>
        <v>46022</v>
      </c>
      <c r="Y116" s="452" t="str">
        <f t="shared" ca="1" si="33"/>
        <v>Mer. janvier , 2026</v>
      </c>
      <c r="Z116" s="143">
        <f t="shared" ca="1" si="24"/>
        <v>31</v>
      </c>
      <c r="AA116" s="348">
        <f t="shared" ca="1" si="25"/>
        <v>1</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Mer</v>
      </c>
      <c r="U117" s="186" t="str">
        <f t="shared" ca="1" si="32"/>
        <v>janvier</v>
      </c>
      <c r="X117" s="347">
        <f t="shared" ca="1" si="36"/>
        <v>46022</v>
      </c>
      <c r="Y117" s="452" t="str">
        <f t="shared" ca="1" si="33"/>
        <v>Mer. janvier , 2026</v>
      </c>
      <c r="Z117" s="143">
        <f t="shared" ca="1" si="24"/>
        <v>31</v>
      </c>
      <c r="AA117" s="348">
        <f t="shared" ca="1" si="25"/>
        <v>1</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Mer</v>
      </c>
      <c r="U118" s="186" t="str">
        <f t="shared" ca="1" si="32"/>
        <v>janvier</v>
      </c>
      <c r="X118" s="347">
        <f t="shared" ca="1" si="36"/>
        <v>46022</v>
      </c>
      <c r="Y118" s="452" t="str">
        <f t="shared" ca="1" si="33"/>
        <v>Mer. janvier , 2026</v>
      </c>
      <c r="Z118" s="143">
        <f t="shared" ca="1" si="24"/>
        <v>31</v>
      </c>
      <c r="AA118" s="348">
        <f t="shared" ca="1" si="25"/>
        <v>1</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Mer</v>
      </c>
      <c r="U119" s="186" t="str">
        <f t="shared" ca="1" si="32"/>
        <v>janvier</v>
      </c>
      <c r="X119" s="347">
        <f t="shared" ca="1" si="36"/>
        <v>46022</v>
      </c>
      <c r="Y119" s="452" t="str">
        <f t="shared" ca="1" si="33"/>
        <v>Mer. janvier , 2026</v>
      </c>
      <c r="Z119" s="143">
        <f t="shared" ca="1" si="24"/>
        <v>31</v>
      </c>
      <c r="AA119" s="348">
        <f t="shared" ca="1" si="25"/>
        <v>1</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Mer</v>
      </c>
      <c r="U120" s="186" t="str">
        <f t="shared" ca="1" si="32"/>
        <v>janvier</v>
      </c>
      <c r="X120" s="347">
        <f t="shared" ca="1" si="36"/>
        <v>46022</v>
      </c>
      <c r="Y120" s="452" t="str">
        <f t="shared" ca="1" si="33"/>
        <v>Mer. janvier , 2026</v>
      </c>
      <c r="Z120" s="143">
        <f t="shared" ca="1" si="24"/>
        <v>31</v>
      </c>
      <c r="AA120" s="348">
        <f t="shared" ca="1" si="25"/>
        <v>1</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Mer</v>
      </c>
      <c r="U121" s="186" t="str">
        <f t="shared" ca="1" si="32"/>
        <v>janvier</v>
      </c>
      <c r="X121" s="347">
        <f t="shared" ca="1" si="36"/>
        <v>46022</v>
      </c>
      <c r="Y121" s="452" t="str">
        <f t="shared" ca="1" si="33"/>
        <v>Mer. janvier , 2026</v>
      </c>
      <c r="Z121" s="143">
        <f t="shared" ca="1" si="24"/>
        <v>31</v>
      </c>
      <c r="AA121" s="348">
        <f t="shared" ca="1" si="25"/>
        <v>1</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Mer</v>
      </c>
      <c r="U122" s="186" t="str">
        <f t="shared" ca="1" si="32"/>
        <v>janvier</v>
      </c>
      <c r="X122" s="347">
        <f t="shared" ca="1" si="36"/>
        <v>46022</v>
      </c>
      <c r="Y122" s="452" t="str">
        <f t="shared" ca="1" si="33"/>
        <v>Mer. janvier , 2026</v>
      </c>
      <c r="Z122" s="143">
        <f t="shared" ca="1" si="24"/>
        <v>31</v>
      </c>
      <c r="AA122" s="348">
        <f t="shared" ca="1" si="25"/>
        <v>1</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Mer</v>
      </c>
      <c r="U123" s="186" t="str">
        <f t="shared" ca="1" si="32"/>
        <v>janvier</v>
      </c>
      <c r="X123" s="347">
        <f t="shared" ca="1" si="36"/>
        <v>46022</v>
      </c>
      <c r="Y123" s="452" t="str">
        <f t="shared" ca="1" si="33"/>
        <v>Mer. janvier , 2026</v>
      </c>
      <c r="Z123" s="143">
        <f t="shared" ca="1" si="24"/>
        <v>31</v>
      </c>
      <c r="AA123" s="348">
        <f t="shared" ca="1" si="25"/>
        <v>1</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Mer</v>
      </c>
      <c r="U124" s="186" t="str">
        <f t="shared" ca="1" si="32"/>
        <v>janvier</v>
      </c>
      <c r="X124" s="347">
        <f t="shared" ca="1" si="36"/>
        <v>46022</v>
      </c>
      <c r="Y124" s="452" t="str">
        <f t="shared" ca="1" si="33"/>
        <v>Mer. janvier , 2026</v>
      </c>
      <c r="Z124" s="143">
        <f t="shared" ca="1" si="24"/>
        <v>31</v>
      </c>
      <c r="AA124" s="348">
        <f t="shared" ca="1" si="25"/>
        <v>1</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Mer</v>
      </c>
      <c r="U125" s="186" t="str">
        <f t="shared" ca="1" si="32"/>
        <v>janvier</v>
      </c>
      <c r="X125" s="347">
        <f t="shared" ca="1" si="36"/>
        <v>46022</v>
      </c>
      <c r="Y125" s="452" t="str">
        <f t="shared" ca="1" si="33"/>
        <v>Mer. janvier , 2026</v>
      </c>
      <c r="Z125" s="143">
        <f t="shared" ca="1" si="24"/>
        <v>31</v>
      </c>
      <c r="AA125" s="348">
        <f t="shared" ca="1" si="25"/>
        <v>1</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Mer</v>
      </c>
      <c r="U126" s="186" t="str">
        <f t="shared" ca="1" si="32"/>
        <v>janvier</v>
      </c>
      <c r="X126" s="347">
        <f t="shared" ca="1" si="36"/>
        <v>46022</v>
      </c>
      <c r="Y126" s="452" t="str">
        <f t="shared" ca="1" si="33"/>
        <v>Mer. janvier , 2026</v>
      </c>
      <c r="Z126" s="143">
        <f t="shared" ca="1" si="24"/>
        <v>31</v>
      </c>
      <c r="AA126" s="348">
        <f t="shared" ca="1" si="25"/>
        <v>1</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Mer</v>
      </c>
      <c r="U127" s="186" t="str">
        <f t="shared" ca="1" si="32"/>
        <v>janvier</v>
      </c>
      <c r="X127" s="347">
        <f t="shared" ca="1" si="36"/>
        <v>46022</v>
      </c>
      <c r="Y127" s="452" t="str">
        <f t="shared" ca="1" si="33"/>
        <v>Mer. janvier , 2026</v>
      </c>
      <c r="Z127" s="143">
        <f t="shared" ca="1" si="24"/>
        <v>31</v>
      </c>
      <c r="AA127" s="348">
        <f t="shared" ca="1" si="25"/>
        <v>1</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Mer</v>
      </c>
      <c r="U128" s="186" t="str">
        <f t="shared" ca="1" si="32"/>
        <v>janvier</v>
      </c>
      <c r="X128" s="347">
        <f t="shared" ca="1" si="36"/>
        <v>46022</v>
      </c>
      <c r="Y128" s="452" t="str">
        <f t="shared" ca="1" si="33"/>
        <v>Mer. janvier , 2026</v>
      </c>
      <c r="Z128" s="143">
        <f t="shared" ca="1" si="24"/>
        <v>31</v>
      </c>
      <c r="AA128" s="348">
        <f t="shared" ca="1" si="25"/>
        <v>1</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Mer</v>
      </c>
      <c r="U129" s="186" t="str">
        <f t="shared" ca="1" si="32"/>
        <v>janvier</v>
      </c>
      <c r="X129" s="347">
        <f t="shared" ca="1" si="36"/>
        <v>46022</v>
      </c>
      <c r="Y129" s="452" t="str">
        <f t="shared" ca="1" si="33"/>
        <v>Mer. janvier , 2026</v>
      </c>
      <c r="Z129" s="143">
        <f t="shared" ca="1" si="24"/>
        <v>31</v>
      </c>
      <c r="AA129" s="348">
        <f t="shared" ca="1" si="25"/>
        <v>1</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Mer</v>
      </c>
      <c r="U130" s="186" t="str">
        <f t="shared" ca="1" si="32"/>
        <v>janvier</v>
      </c>
      <c r="X130" s="347">
        <f t="shared" ca="1" si="36"/>
        <v>46022</v>
      </c>
      <c r="Y130" s="452" t="str">
        <f t="shared" ca="1" si="33"/>
        <v>Mer. janvier , 2026</v>
      </c>
      <c r="Z130" s="143">
        <f t="shared" ca="1" si="24"/>
        <v>31</v>
      </c>
      <c r="AA130" s="348">
        <f t="shared" ca="1" si="25"/>
        <v>1</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Mer</v>
      </c>
      <c r="U131" s="186" t="str">
        <f t="shared" ca="1" si="32"/>
        <v>janvier</v>
      </c>
      <c r="X131" s="347">
        <f t="shared" ca="1" si="36"/>
        <v>46022</v>
      </c>
      <c r="Y131" s="452" t="str">
        <f t="shared" ca="1" si="33"/>
        <v>Mer. janvier , 2026</v>
      </c>
      <c r="Z131" s="143">
        <f t="shared" ca="1" si="24"/>
        <v>31</v>
      </c>
      <c r="AA131" s="348">
        <f t="shared" ca="1" si="25"/>
        <v>1</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Mer</v>
      </c>
      <c r="U132" s="186" t="str">
        <f t="shared" ca="1" si="32"/>
        <v>janvier</v>
      </c>
      <c r="X132" s="347">
        <f t="shared" ca="1" si="36"/>
        <v>46022</v>
      </c>
      <c r="Y132" s="452" t="str">
        <f t="shared" ca="1" si="33"/>
        <v>Mer. janvier , 2026</v>
      </c>
      <c r="Z132" s="143">
        <f t="shared" ca="1" si="24"/>
        <v>31</v>
      </c>
      <c r="AA132" s="348">
        <f t="shared" ca="1" si="25"/>
        <v>1</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Mer</v>
      </c>
      <c r="U133" s="186" t="str">
        <f t="shared" ca="1" si="32"/>
        <v>janvier</v>
      </c>
      <c r="X133" s="347">
        <f t="shared" ca="1" si="36"/>
        <v>46022</v>
      </c>
      <c r="Y133" s="452" t="str">
        <f t="shared" ca="1" si="33"/>
        <v>Mer. janvier , 2026</v>
      </c>
      <c r="Z133" s="143">
        <f t="shared" ca="1" si="24"/>
        <v>31</v>
      </c>
      <c r="AA133" s="348">
        <f t="shared" ca="1" si="25"/>
        <v>1</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Mer</v>
      </c>
      <c r="U134" s="186" t="str">
        <f t="shared" ca="1" si="32"/>
        <v>janvier</v>
      </c>
      <c r="X134" s="347">
        <f t="shared" ca="1" si="36"/>
        <v>46022</v>
      </c>
      <c r="Y134" s="452" t="str">
        <f t="shared" ca="1" si="33"/>
        <v>Mer. janvier , 2026</v>
      </c>
      <c r="Z134" s="143">
        <f t="shared" ca="1" si="24"/>
        <v>31</v>
      </c>
      <c r="AA134" s="348">
        <f t="shared" ca="1" si="25"/>
        <v>1</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Mer</v>
      </c>
      <c r="U135" s="186" t="str">
        <f t="shared" ca="1" si="32"/>
        <v>janvier</v>
      </c>
      <c r="X135" s="347">
        <f t="shared" ca="1" si="36"/>
        <v>46022</v>
      </c>
      <c r="Y135" s="452" t="str">
        <f t="shared" ca="1" si="33"/>
        <v>Mer. janvier , 2026</v>
      </c>
      <c r="Z135" s="143">
        <f t="shared" ca="1" si="24"/>
        <v>31</v>
      </c>
      <c r="AA135" s="348">
        <f t="shared" ca="1" si="25"/>
        <v>1</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Mer</v>
      </c>
      <c r="U136" s="186" t="str">
        <f t="shared" ca="1" si="32"/>
        <v>janvier</v>
      </c>
      <c r="X136" s="347">
        <f t="shared" ca="1" si="36"/>
        <v>46022</v>
      </c>
      <c r="Y136" s="452" t="str">
        <f t="shared" ca="1" si="33"/>
        <v>Mer. janvier , 2026</v>
      </c>
      <c r="Z136" s="143">
        <f t="shared" ca="1" si="24"/>
        <v>31</v>
      </c>
      <c r="AA136" s="348">
        <f t="shared" ca="1" si="25"/>
        <v>1</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Mer</v>
      </c>
      <c r="U137" s="186" t="str">
        <f t="shared" ca="1" si="32"/>
        <v>janvier</v>
      </c>
      <c r="X137" s="347">
        <f t="shared" ca="1" si="36"/>
        <v>46022</v>
      </c>
      <c r="Y137" s="452" t="str">
        <f t="shared" ca="1" si="33"/>
        <v>Mer. janvier , 2026</v>
      </c>
      <c r="Z137" s="143">
        <f t="shared" ca="1" si="24"/>
        <v>31</v>
      </c>
      <c r="AA137" s="348">
        <f t="shared" ca="1" si="25"/>
        <v>1</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Mer</v>
      </c>
      <c r="U138" s="186" t="str">
        <f t="shared" ca="1" si="32"/>
        <v>janvier</v>
      </c>
      <c r="X138" s="347">
        <f t="shared" ca="1" si="36"/>
        <v>46022</v>
      </c>
      <c r="Y138" s="452" t="str">
        <f t="shared" ca="1" si="33"/>
        <v>Mer. janvier , 2026</v>
      </c>
      <c r="Z138" s="143">
        <f t="shared" ca="1" si="24"/>
        <v>31</v>
      </c>
      <c r="AA138" s="348">
        <f t="shared" ca="1" si="25"/>
        <v>1</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Mer</v>
      </c>
      <c r="U139" s="186" t="str">
        <f t="shared" ca="1" si="32"/>
        <v>janvier</v>
      </c>
      <c r="X139" s="347">
        <f t="shared" ca="1" si="36"/>
        <v>46022</v>
      </c>
      <c r="Y139" s="452" t="str">
        <f t="shared" ca="1" si="33"/>
        <v>Mer. janvier , 2026</v>
      </c>
      <c r="Z139" s="143">
        <f t="shared" ca="1" si="24"/>
        <v>31</v>
      </c>
      <c r="AA139" s="348">
        <f t="shared" ca="1" si="25"/>
        <v>1</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Mer</v>
      </c>
      <c r="U140" s="186" t="str">
        <f t="shared" ca="1" si="32"/>
        <v>janvier</v>
      </c>
      <c r="X140" s="347">
        <f t="shared" ca="1" si="36"/>
        <v>46022</v>
      </c>
      <c r="Y140" s="452" t="str">
        <f t="shared" ca="1" si="33"/>
        <v>Mer. janvier , 2026</v>
      </c>
      <c r="Z140" s="143">
        <f t="shared" ca="1" si="24"/>
        <v>31</v>
      </c>
      <c r="AA140" s="348">
        <f t="shared" ca="1" si="25"/>
        <v>1</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Mer</v>
      </c>
      <c r="U141" s="186" t="str">
        <f t="shared" ca="1" si="32"/>
        <v>janvier</v>
      </c>
      <c r="X141" s="347">
        <f t="shared" ca="1" si="36"/>
        <v>46022</v>
      </c>
      <c r="Y141" s="452" t="str">
        <f t="shared" ca="1" si="33"/>
        <v>Mer. janvier , 2026</v>
      </c>
      <c r="Z141" s="143">
        <f t="shared" ca="1" si="24"/>
        <v>31</v>
      </c>
      <c r="AA141" s="348">
        <f t="shared" ca="1" si="25"/>
        <v>1</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Mer</v>
      </c>
      <c r="U142" s="186" t="str">
        <f t="shared" ca="1" si="32"/>
        <v>janvier</v>
      </c>
      <c r="X142" s="347">
        <f t="shared" ca="1" si="36"/>
        <v>46022</v>
      </c>
      <c r="Y142" s="452" t="str">
        <f t="shared" ca="1" si="33"/>
        <v>Mer. janvier , 2026</v>
      </c>
      <c r="Z142" s="143">
        <f t="shared" ca="1" si="24"/>
        <v>31</v>
      </c>
      <c r="AA142" s="348">
        <f t="shared" ca="1" si="25"/>
        <v>1</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Mer</v>
      </c>
      <c r="U143" s="186" t="str">
        <f t="shared" ca="1" si="32"/>
        <v>janvier</v>
      </c>
      <c r="X143" s="347">
        <f t="shared" ca="1" si="36"/>
        <v>46022</v>
      </c>
      <c r="Y143" s="452" t="str">
        <f t="shared" ca="1" si="33"/>
        <v>Mer. janvier , 2026</v>
      </c>
      <c r="Z143" s="143">
        <f t="shared" ca="1" si="24"/>
        <v>31</v>
      </c>
      <c r="AA143" s="348">
        <f t="shared" ca="1" si="25"/>
        <v>1</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Mer</v>
      </c>
      <c r="U144" s="186" t="str">
        <f t="shared" ca="1" si="32"/>
        <v>janvier</v>
      </c>
      <c r="X144" s="347">
        <f t="shared" ca="1" si="36"/>
        <v>46022</v>
      </c>
      <c r="Y144" s="452" t="str">
        <f t="shared" ca="1" si="33"/>
        <v>Mer. janvier , 2026</v>
      </c>
      <c r="Z144" s="143">
        <f t="shared" ca="1" si="24"/>
        <v>31</v>
      </c>
      <c r="AA144" s="348">
        <f t="shared" ca="1" si="25"/>
        <v>1</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Mer</v>
      </c>
      <c r="U145" s="186" t="str">
        <f t="shared" ca="1" si="32"/>
        <v>janvier</v>
      </c>
      <c r="X145" s="347">
        <f t="shared" ca="1" si="36"/>
        <v>46022</v>
      </c>
      <c r="Y145" s="452" t="str">
        <f t="shared" ca="1" si="33"/>
        <v>Mer. janvier , 2026</v>
      </c>
      <c r="Z145" s="143">
        <f t="shared" ca="1" si="24"/>
        <v>31</v>
      </c>
      <c r="AA145" s="348">
        <f t="shared" ca="1" si="25"/>
        <v>1</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Mer</v>
      </c>
      <c r="U146" s="186" t="str">
        <f t="shared" ca="1" si="32"/>
        <v>janvier</v>
      </c>
      <c r="X146" s="347">
        <f t="shared" ca="1" si="36"/>
        <v>46022</v>
      </c>
      <c r="Y146" s="452" t="str">
        <f t="shared" ca="1" si="33"/>
        <v>Mer. janvier , 2026</v>
      </c>
      <c r="Z146" s="143">
        <f t="shared" ca="1" si="24"/>
        <v>31</v>
      </c>
      <c r="AA146" s="348">
        <f t="shared" ca="1" si="25"/>
        <v>1</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Mer</v>
      </c>
      <c r="U147" s="186" t="str">
        <f t="shared" ca="1" si="32"/>
        <v>janvier</v>
      </c>
      <c r="X147" s="347">
        <f t="shared" ca="1" si="36"/>
        <v>46022</v>
      </c>
      <c r="Y147" s="452" t="str">
        <f t="shared" ca="1" si="33"/>
        <v>Mer. janvier , 2026</v>
      </c>
      <c r="Z147" s="143">
        <f t="shared" ca="1" si="24"/>
        <v>31</v>
      </c>
      <c r="AA147" s="348">
        <f t="shared" ca="1" si="25"/>
        <v>1</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Mer</v>
      </c>
      <c r="U148" s="186" t="str">
        <f t="shared" ca="1" si="32"/>
        <v>janvier</v>
      </c>
      <c r="X148" s="347">
        <f t="shared" ca="1" si="36"/>
        <v>46022</v>
      </c>
      <c r="Y148" s="452" t="str">
        <f t="shared" ca="1" si="33"/>
        <v>Mer. janvier , 2026</v>
      </c>
      <c r="Z148" s="143">
        <f t="shared" ref="Z148:Z194" ca="1" si="43">MIN(R148,$AF$5)</f>
        <v>31</v>
      </c>
      <c r="AA148" s="348">
        <f t="shared" ref="AA148:AA194" ca="1" si="44">$AD$6</f>
        <v>1</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Mer</v>
      </c>
      <c r="U149" s="186" t="str">
        <f t="shared" ref="U149:U194" ca="1" si="51">$U$19</f>
        <v>janvier</v>
      </c>
      <c r="X149" s="347">
        <f t="shared" ca="1" si="36"/>
        <v>46022</v>
      </c>
      <c r="Y149" s="452" t="str">
        <f t="shared" ref="Y149:Y194" ca="1" si="52">IF(Y143="f",T149&amp;". "&amp;" "&amp;R149&amp;" "&amp;U149&amp;" "&amp;$AE$7,T149&amp;". "&amp;U149&amp;" "&amp;R149&amp;", "&amp;$AE$7)</f>
        <v>Mer. janvier , 2026</v>
      </c>
      <c r="Z149" s="143">
        <f t="shared" ca="1" si="43"/>
        <v>31</v>
      </c>
      <c r="AA149" s="348">
        <f t="shared" ca="1" si="44"/>
        <v>1</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Mer</v>
      </c>
      <c r="U150" s="186" t="str">
        <f t="shared" ca="1" si="51"/>
        <v>janvier</v>
      </c>
      <c r="X150" s="347">
        <f t="shared" ref="X150:X194" ca="1" si="55">$AE$8+D150</f>
        <v>46022</v>
      </c>
      <c r="Y150" s="452" t="str">
        <f t="shared" ca="1" si="52"/>
        <v>Mer. janvier , 2026</v>
      </c>
      <c r="Z150" s="143">
        <f t="shared" ca="1" si="43"/>
        <v>31</v>
      </c>
      <c r="AA150" s="348">
        <f t="shared" ca="1" si="44"/>
        <v>1</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Mer</v>
      </c>
      <c r="U151" s="186" t="str">
        <f t="shared" ca="1" si="51"/>
        <v>janvier</v>
      </c>
      <c r="X151" s="347">
        <f t="shared" ca="1" si="55"/>
        <v>46022</v>
      </c>
      <c r="Y151" s="452" t="str">
        <f t="shared" ca="1" si="52"/>
        <v>Mer. janvier , 2026</v>
      </c>
      <c r="Z151" s="143">
        <f t="shared" ca="1" si="43"/>
        <v>31</v>
      </c>
      <c r="AA151" s="348">
        <f t="shared" ca="1" si="44"/>
        <v>1</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Mer</v>
      </c>
      <c r="U152" s="186" t="str">
        <f t="shared" ca="1" si="51"/>
        <v>janvier</v>
      </c>
      <c r="X152" s="347">
        <f t="shared" ca="1" si="55"/>
        <v>46022</v>
      </c>
      <c r="Y152" s="452" t="str">
        <f t="shared" ca="1" si="52"/>
        <v>Mer. janvier , 2026</v>
      </c>
      <c r="Z152" s="143">
        <f t="shared" ca="1" si="43"/>
        <v>31</v>
      </c>
      <c r="AA152" s="348">
        <f t="shared" ca="1" si="44"/>
        <v>1</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Mer</v>
      </c>
      <c r="U153" s="186" t="str">
        <f t="shared" ca="1" si="51"/>
        <v>janvier</v>
      </c>
      <c r="X153" s="347">
        <f t="shared" ca="1" si="55"/>
        <v>46022</v>
      </c>
      <c r="Y153" s="452" t="str">
        <f t="shared" ca="1" si="52"/>
        <v>Mer. janvier , 2026</v>
      </c>
      <c r="Z153" s="143">
        <f t="shared" ca="1" si="43"/>
        <v>31</v>
      </c>
      <c r="AA153" s="348">
        <f t="shared" ca="1" si="44"/>
        <v>1</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Mer</v>
      </c>
      <c r="U154" s="186" t="str">
        <f t="shared" ca="1" si="51"/>
        <v>janvier</v>
      </c>
      <c r="X154" s="347">
        <f t="shared" ca="1" si="55"/>
        <v>46022</v>
      </c>
      <c r="Y154" s="452" t="str">
        <f t="shared" ca="1" si="52"/>
        <v>Mer. janvier , 2026</v>
      </c>
      <c r="Z154" s="143">
        <f t="shared" ca="1" si="43"/>
        <v>31</v>
      </c>
      <c r="AA154" s="348">
        <f t="shared" ca="1" si="44"/>
        <v>1</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Mer</v>
      </c>
      <c r="U155" s="186" t="str">
        <f t="shared" ca="1" si="51"/>
        <v>janvier</v>
      </c>
      <c r="X155" s="347">
        <f t="shared" ca="1" si="55"/>
        <v>46022</v>
      </c>
      <c r="Y155" s="452" t="str">
        <f t="shared" ca="1" si="52"/>
        <v>Mer. janvier , 2026</v>
      </c>
      <c r="Z155" s="143">
        <f t="shared" ca="1" si="43"/>
        <v>31</v>
      </c>
      <c r="AA155" s="348">
        <f t="shared" ca="1" si="44"/>
        <v>1</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Mer</v>
      </c>
      <c r="U156" s="186" t="str">
        <f t="shared" ca="1" si="51"/>
        <v>janvier</v>
      </c>
      <c r="X156" s="347">
        <f t="shared" ca="1" si="55"/>
        <v>46022</v>
      </c>
      <c r="Y156" s="452" t="str">
        <f t="shared" ca="1" si="52"/>
        <v>Mer. janvier , 2026</v>
      </c>
      <c r="Z156" s="143">
        <f t="shared" ca="1" si="43"/>
        <v>31</v>
      </c>
      <c r="AA156" s="348">
        <f t="shared" ca="1" si="44"/>
        <v>1</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Mer</v>
      </c>
      <c r="U157" s="186" t="str">
        <f t="shared" ca="1" si="51"/>
        <v>janvier</v>
      </c>
      <c r="X157" s="347">
        <f t="shared" ca="1" si="55"/>
        <v>46022</v>
      </c>
      <c r="Y157" s="452" t="str">
        <f t="shared" ca="1" si="52"/>
        <v>Mer. janvier , 2026</v>
      </c>
      <c r="Z157" s="143">
        <f t="shared" ca="1" si="43"/>
        <v>31</v>
      </c>
      <c r="AA157" s="348">
        <f t="shared" ca="1" si="44"/>
        <v>1</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Mer</v>
      </c>
      <c r="U158" s="186" t="str">
        <f t="shared" ca="1" si="51"/>
        <v>janvier</v>
      </c>
      <c r="X158" s="347">
        <f t="shared" ca="1" si="55"/>
        <v>46022</v>
      </c>
      <c r="Y158" s="452" t="str">
        <f t="shared" ca="1" si="52"/>
        <v>Mer. janvier , 2026</v>
      </c>
      <c r="Z158" s="143">
        <f t="shared" ca="1" si="43"/>
        <v>31</v>
      </c>
      <c r="AA158" s="348">
        <f t="shared" ca="1" si="44"/>
        <v>1</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Mer</v>
      </c>
      <c r="U159" s="186" t="str">
        <f t="shared" ca="1" si="51"/>
        <v>janvier</v>
      </c>
      <c r="X159" s="347">
        <f t="shared" ca="1" si="55"/>
        <v>46022</v>
      </c>
      <c r="Y159" s="452" t="str">
        <f t="shared" ca="1" si="52"/>
        <v>Mer. janvier , 2026</v>
      </c>
      <c r="Z159" s="143">
        <f t="shared" ca="1" si="43"/>
        <v>31</v>
      </c>
      <c r="AA159" s="348">
        <f t="shared" ca="1" si="44"/>
        <v>1</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Mer</v>
      </c>
      <c r="U160" s="186" t="str">
        <f t="shared" ca="1" si="51"/>
        <v>janvier</v>
      </c>
      <c r="X160" s="347">
        <f t="shared" ca="1" si="55"/>
        <v>46022</v>
      </c>
      <c r="Y160" s="452" t="str">
        <f t="shared" ca="1" si="52"/>
        <v>Mer. janvier , 2026</v>
      </c>
      <c r="Z160" s="143">
        <f t="shared" ca="1" si="43"/>
        <v>31</v>
      </c>
      <c r="AA160" s="348">
        <f t="shared" ca="1" si="44"/>
        <v>1</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Mer</v>
      </c>
      <c r="U161" s="186" t="str">
        <f t="shared" ca="1" si="51"/>
        <v>janvier</v>
      </c>
      <c r="X161" s="347">
        <f t="shared" ca="1" si="55"/>
        <v>46022</v>
      </c>
      <c r="Y161" s="452" t="str">
        <f t="shared" ca="1" si="52"/>
        <v>Mer. janvier , 2026</v>
      </c>
      <c r="Z161" s="143">
        <f t="shared" ca="1" si="43"/>
        <v>31</v>
      </c>
      <c r="AA161" s="348">
        <f t="shared" ca="1" si="44"/>
        <v>1</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Mer</v>
      </c>
      <c r="U162" s="186" t="str">
        <f t="shared" ca="1" si="51"/>
        <v>janvier</v>
      </c>
      <c r="X162" s="347">
        <f t="shared" ca="1" si="55"/>
        <v>46022</v>
      </c>
      <c r="Y162" s="452" t="str">
        <f t="shared" ca="1" si="52"/>
        <v>Mer. janvier , 2026</v>
      </c>
      <c r="Z162" s="143">
        <f t="shared" ca="1" si="43"/>
        <v>31</v>
      </c>
      <c r="AA162" s="348">
        <f t="shared" ca="1" si="44"/>
        <v>1</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Mer</v>
      </c>
      <c r="U163" s="186" t="str">
        <f t="shared" ca="1" si="51"/>
        <v>janvier</v>
      </c>
      <c r="X163" s="347">
        <f t="shared" ca="1" si="55"/>
        <v>46022</v>
      </c>
      <c r="Y163" s="452" t="str">
        <f t="shared" ca="1" si="52"/>
        <v>Mer. janvier , 2026</v>
      </c>
      <c r="Z163" s="143">
        <f t="shared" ca="1" si="43"/>
        <v>31</v>
      </c>
      <c r="AA163" s="348">
        <f t="shared" ca="1" si="44"/>
        <v>1</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Mer</v>
      </c>
      <c r="U164" s="186" t="str">
        <f t="shared" ca="1" si="51"/>
        <v>janvier</v>
      </c>
      <c r="X164" s="347">
        <f t="shared" ca="1" si="55"/>
        <v>46022</v>
      </c>
      <c r="Y164" s="452" t="str">
        <f t="shared" ca="1" si="52"/>
        <v>Mer. janvier , 2026</v>
      </c>
      <c r="Z164" s="143">
        <f t="shared" ca="1" si="43"/>
        <v>31</v>
      </c>
      <c r="AA164" s="348">
        <f t="shared" ca="1" si="44"/>
        <v>1</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Mer</v>
      </c>
      <c r="U165" s="186" t="str">
        <f t="shared" ca="1" si="51"/>
        <v>janvier</v>
      </c>
      <c r="X165" s="347">
        <f t="shared" ca="1" si="55"/>
        <v>46022</v>
      </c>
      <c r="Y165" s="452" t="str">
        <f t="shared" ca="1" si="52"/>
        <v>Mer. janvier , 2026</v>
      </c>
      <c r="Z165" s="143">
        <f t="shared" ca="1" si="43"/>
        <v>31</v>
      </c>
      <c r="AA165" s="348">
        <f t="shared" ca="1" si="44"/>
        <v>1</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Mer</v>
      </c>
      <c r="U166" s="186" t="str">
        <f t="shared" ca="1" si="51"/>
        <v>janvier</v>
      </c>
      <c r="X166" s="347">
        <f t="shared" ca="1" si="55"/>
        <v>46022</v>
      </c>
      <c r="Y166" s="452" t="str">
        <f t="shared" ca="1" si="52"/>
        <v>Mer. janvier , 2026</v>
      </c>
      <c r="Z166" s="143">
        <f t="shared" ca="1" si="43"/>
        <v>31</v>
      </c>
      <c r="AA166" s="348">
        <f t="shared" ca="1" si="44"/>
        <v>1</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Mer</v>
      </c>
      <c r="U167" s="186" t="str">
        <f t="shared" ca="1" si="51"/>
        <v>janvier</v>
      </c>
      <c r="X167" s="347">
        <f t="shared" ca="1" si="55"/>
        <v>46022</v>
      </c>
      <c r="Y167" s="452" t="str">
        <f t="shared" ca="1" si="52"/>
        <v>Mer. janvier , 2026</v>
      </c>
      <c r="Z167" s="143">
        <f t="shared" ca="1" si="43"/>
        <v>31</v>
      </c>
      <c r="AA167" s="348">
        <f t="shared" ca="1" si="44"/>
        <v>1</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Mer</v>
      </c>
      <c r="U168" s="186" t="str">
        <f t="shared" ca="1" si="51"/>
        <v>janvier</v>
      </c>
      <c r="X168" s="347">
        <f t="shared" ca="1" si="55"/>
        <v>46022</v>
      </c>
      <c r="Y168" s="452" t="str">
        <f t="shared" ca="1" si="52"/>
        <v>Mer. janvier , 2026</v>
      </c>
      <c r="Z168" s="143">
        <f t="shared" ca="1" si="43"/>
        <v>31</v>
      </c>
      <c r="AA168" s="348">
        <f t="shared" ca="1" si="44"/>
        <v>1</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Mer</v>
      </c>
      <c r="U169" s="186" t="str">
        <f t="shared" ca="1" si="51"/>
        <v>janvier</v>
      </c>
      <c r="X169" s="347">
        <f t="shared" ca="1" si="55"/>
        <v>46022</v>
      </c>
      <c r="Y169" s="452" t="str">
        <f t="shared" ca="1" si="52"/>
        <v>Mer. janvier , 2026</v>
      </c>
      <c r="Z169" s="143">
        <f t="shared" ca="1" si="43"/>
        <v>31</v>
      </c>
      <c r="AA169" s="348">
        <f t="shared" ca="1" si="44"/>
        <v>1</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Mer</v>
      </c>
      <c r="U170" s="186" t="str">
        <f t="shared" ca="1" si="51"/>
        <v>janvier</v>
      </c>
      <c r="X170" s="347">
        <f t="shared" ca="1" si="55"/>
        <v>46022</v>
      </c>
      <c r="Y170" s="452" t="str">
        <f t="shared" ca="1" si="52"/>
        <v>Mer. janvier , 2026</v>
      </c>
      <c r="Z170" s="143">
        <f t="shared" ca="1" si="43"/>
        <v>31</v>
      </c>
      <c r="AA170" s="348">
        <f t="shared" ca="1" si="44"/>
        <v>1</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Mer</v>
      </c>
      <c r="U171" s="186" t="str">
        <f t="shared" ca="1" si="51"/>
        <v>janvier</v>
      </c>
      <c r="X171" s="347">
        <f t="shared" ca="1" si="55"/>
        <v>46022</v>
      </c>
      <c r="Y171" s="452" t="str">
        <f t="shared" ca="1" si="52"/>
        <v>Mer. janvier , 2026</v>
      </c>
      <c r="Z171" s="143">
        <f t="shared" ca="1" si="43"/>
        <v>31</v>
      </c>
      <c r="AA171" s="348">
        <f t="shared" ca="1" si="44"/>
        <v>1</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Mer</v>
      </c>
      <c r="U172" s="186" t="str">
        <f t="shared" ca="1" si="51"/>
        <v>janvier</v>
      </c>
      <c r="X172" s="347">
        <f t="shared" ca="1" si="55"/>
        <v>46022</v>
      </c>
      <c r="Y172" s="452" t="str">
        <f t="shared" ca="1" si="52"/>
        <v>Mer. janvier , 2026</v>
      </c>
      <c r="Z172" s="143">
        <f t="shared" ca="1" si="43"/>
        <v>31</v>
      </c>
      <c r="AA172" s="348">
        <f t="shared" ca="1" si="44"/>
        <v>1</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Mer</v>
      </c>
      <c r="U173" s="186" t="str">
        <f t="shared" ca="1" si="51"/>
        <v>janvier</v>
      </c>
      <c r="X173" s="347">
        <f t="shared" ca="1" si="55"/>
        <v>46022</v>
      </c>
      <c r="Y173" s="452" t="str">
        <f t="shared" ca="1" si="52"/>
        <v>Mer. janvier , 2026</v>
      </c>
      <c r="Z173" s="143">
        <f t="shared" ca="1" si="43"/>
        <v>31</v>
      </c>
      <c r="AA173" s="348">
        <f t="shared" ca="1" si="44"/>
        <v>1</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Mer</v>
      </c>
      <c r="U174" s="186" t="str">
        <f t="shared" ca="1" si="51"/>
        <v>janvier</v>
      </c>
      <c r="X174" s="347">
        <f t="shared" ca="1" si="55"/>
        <v>46022</v>
      </c>
      <c r="Y174" s="452" t="str">
        <f t="shared" ca="1" si="52"/>
        <v>Mer. janvier , 2026</v>
      </c>
      <c r="Z174" s="143">
        <f t="shared" ca="1" si="43"/>
        <v>31</v>
      </c>
      <c r="AA174" s="348">
        <f t="shared" ca="1" si="44"/>
        <v>1</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Mer</v>
      </c>
      <c r="U175" s="186" t="str">
        <f t="shared" ca="1" si="51"/>
        <v>janvier</v>
      </c>
      <c r="X175" s="347">
        <f t="shared" ca="1" si="55"/>
        <v>46022</v>
      </c>
      <c r="Y175" s="452" t="str">
        <f t="shared" ca="1" si="52"/>
        <v>Mer. janvier , 2026</v>
      </c>
      <c r="Z175" s="143">
        <f t="shared" ca="1" si="43"/>
        <v>31</v>
      </c>
      <c r="AA175" s="348">
        <f t="shared" ca="1" si="44"/>
        <v>1</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Mer</v>
      </c>
      <c r="U176" s="186" t="str">
        <f t="shared" ca="1" si="51"/>
        <v>janvier</v>
      </c>
      <c r="X176" s="347">
        <f t="shared" ca="1" si="55"/>
        <v>46022</v>
      </c>
      <c r="Y176" s="452" t="str">
        <f t="shared" ca="1" si="52"/>
        <v>Mer. janvier , 2026</v>
      </c>
      <c r="Z176" s="143">
        <f t="shared" ca="1" si="43"/>
        <v>31</v>
      </c>
      <c r="AA176" s="348">
        <f t="shared" ca="1" si="44"/>
        <v>1</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Mer</v>
      </c>
      <c r="U177" s="186" t="str">
        <f t="shared" ca="1" si="51"/>
        <v>janvier</v>
      </c>
      <c r="X177" s="347">
        <f t="shared" ca="1" si="55"/>
        <v>46022</v>
      </c>
      <c r="Y177" s="452" t="str">
        <f t="shared" ca="1" si="52"/>
        <v>Mer. janvier , 2026</v>
      </c>
      <c r="Z177" s="143">
        <f t="shared" ca="1" si="43"/>
        <v>31</v>
      </c>
      <c r="AA177" s="348">
        <f t="shared" ca="1" si="44"/>
        <v>1</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Mer</v>
      </c>
      <c r="U178" s="186" t="str">
        <f t="shared" ca="1" si="51"/>
        <v>janvier</v>
      </c>
      <c r="X178" s="347">
        <f t="shared" ca="1" si="55"/>
        <v>46022</v>
      </c>
      <c r="Y178" s="452" t="str">
        <f t="shared" ca="1" si="52"/>
        <v>Mer. janvier , 2026</v>
      </c>
      <c r="Z178" s="143">
        <f t="shared" ca="1" si="43"/>
        <v>31</v>
      </c>
      <c r="AA178" s="348">
        <f t="shared" ca="1" si="44"/>
        <v>1</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Mer</v>
      </c>
      <c r="U179" s="186" t="str">
        <f t="shared" ca="1" si="51"/>
        <v>janvier</v>
      </c>
      <c r="X179" s="347">
        <f t="shared" ca="1" si="55"/>
        <v>46022</v>
      </c>
      <c r="Y179" s="452" t="str">
        <f t="shared" ca="1" si="52"/>
        <v>Mer. janvier , 2026</v>
      </c>
      <c r="Z179" s="143">
        <f t="shared" ca="1" si="43"/>
        <v>31</v>
      </c>
      <c r="AA179" s="348">
        <f t="shared" ca="1" si="44"/>
        <v>1</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Mer</v>
      </c>
      <c r="U180" s="186" t="str">
        <f t="shared" ca="1" si="51"/>
        <v>janvier</v>
      </c>
      <c r="X180" s="347">
        <f t="shared" ca="1" si="55"/>
        <v>46022</v>
      </c>
      <c r="Y180" s="452" t="str">
        <f t="shared" ca="1" si="52"/>
        <v>Mer. janvier , 2026</v>
      </c>
      <c r="Z180" s="143">
        <f t="shared" ca="1" si="43"/>
        <v>31</v>
      </c>
      <c r="AA180" s="348">
        <f t="shared" ca="1" si="44"/>
        <v>1</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Mer</v>
      </c>
      <c r="U181" s="186" t="str">
        <f t="shared" ca="1" si="51"/>
        <v>janvier</v>
      </c>
      <c r="X181" s="347">
        <f t="shared" ca="1" si="55"/>
        <v>46022</v>
      </c>
      <c r="Y181" s="452" t="str">
        <f t="shared" ca="1" si="52"/>
        <v>Mer. janvier , 2026</v>
      </c>
      <c r="Z181" s="143">
        <f t="shared" ca="1" si="43"/>
        <v>31</v>
      </c>
      <c r="AA181" s="348">
        <f t="shared" ca="1" si="44"/>
        <v>1</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Mer</v>
      </c>
      <c r="U182" s="186" t="str">
        <f t="shared" ca="1" si="51"/>
        <v>janvier</v>
      </c>
      <c r="X182" s="347">
        <f t="shared" ca="1" si="55"/>
        <v>46022</v>
      </c>
      <c r="Y182" s="452" t="str">
        <f t="shared" ca="1" si="52"/>
        <v>Mer. janvier , 2026</v>
      </c>
      <c r="Z182" s="143">
        <f t="shared" ca="1" si="43"/>
        <v>31</v>
      </c>
      <c r="AA182" s="348">
        <f t="shared" ca="1" si="44"/>
        <v>1</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Mer</v>
      </c>
      <c r="U183" s="186" t="str">
        <f t="shared" ca="1" si="51"/>
        <v>janvier</v>
      </c>
      <c r="X183" s="347">
        <f t="shared" ca="1" si="55"/>
        <v>46022</v>
      </c>
      <c r="Y183" s="452" t="str">
        <f t="shared" ca="1" si="52"/>
        <v>Mer. janvier , 2026</v>
      </c>
      <c r="Z183" s="143">
        <f t="shared" ca="1" si="43"/>
        <v>31</v>
      </c>
      <c r="AA183" s="348">
        <f t="shared" ca="1" si="44"/>
        <v>1</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Mer</v>
      </c>
      <c r="U184" s="186" t="str">
        <f t="shared" ca="1" si="51"/>
        <v>janvier</v>
      </c>
      <c r="X184" s="347">
        <f t="shared" ca="1" si="55"/>
        <v>46022</v>
      </c>
      <c r="Y184" s="452" t="str">
        <f t="shared" ca="1" si="52"/>
        <v>Mer. janvier , 2026</v>
      </c>
      <c r="Z184" s="143">
        <f t="shared" ca="1" si="43"/>
        <v>31</v>
      </c>
      <c r="AA184" s="348">
        <f t="shared" ca="1" si="44"/>
        <v>1</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Mer</v>
      </c>
      <c r="U185" s="186" t="str">
        <f t="shared" ca="1" si="51"/>
        <v>janvier</v>
      </c>
      <c r="X185" s="347">
        <f t="shared" ca="1" si="55"/>
        <v>46022</v>
      </c>
      <c r="Y185" s="452" t="str">
        <f t="shared" ca="1" si="52"/>
        <v>Mer. janvier , 2026</v>
      </c>
      <c r="Z185" s="143">
        <f t="shared" ca="1" si="43"/>
        <v>31</v>
      </c>
      <c r="AA185" s="348">
        <f t="shared" ca="1" si="44"/>
        <v>1</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Mer</v>
      </c>
      <c r="U186" s="186" t="str">
        <f t="shared" ca="1" si="51"/>
        <v>janvier</v>
      </c>
      <c r="X186" s="347">
        <f t="shared" ca="1" si="55"/>
        <v>46022</v>
      </c>
      <c r="Y186" s="452" t="str">
        <f t="shared" ca="1" si="52"/>
        <v>Mer. janvier , 2026</v>
      </c>
      <c r="Z186" s="143">
        <f t="shared" ca="1" si="43"/>
        <v>31</v>
      </c>
      <c r="AA186" s="348">
        <f t="shared" ca="1" si="44"/>
        <v>1</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Mer</v>
      </c>
      <c r="U187" s="186" t="str">
        <f t="shared" ca="1" si="51"/>
        <v>janvier</v>
      </c>
      <c r="X187" s="347">
        <f t="shared" ca="1" si="55"/>
        <v>46022</v>
      </c>
      <c r="Y187" s="452" t="str">
        <f t="shared" ca="1" si="52"/>
        <v>Mer. janvier , 2026</v>
      </c>
      <c r="Z187" s="143">
        <f t="shared" ca="1" si="43"/>
        <v>31</v>
      </c>
      <c r="AA187" s="348">
        <f t="shared" ca="1" si="44"/>
        <v>1</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Mer</v>
      </c>
      <c r="U188" s="186" t="str">
        <f t="shared" ca="1" si="51"/>
        <v>janvier</v>
      </c>
      <c r="X188" s="347">
        <f t="shared" ca="1" si="55"/>
        <v>46022</v>
      </c>
      <c r="Y188" s="452" t="str">
        <f t="shared" ca="1" si="52"/>
        <v>Mer. janvier , 2026</v>
      </c>
      <c r="Z188" s="143">
        <f t="shared" ca="1" si="43"/>
        <v>31</v>
      </c>
      <c r="AA188" s="348">
        <f t="shared" ca="1" si="44"/>
        <v>1</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Mer</v>
      </c>
      <c r="U189" s="186" t="str">
        <f t="shared" ca="1" si="51"/>
        <v>janvier</v>
      </c>
      <c r="X189" s="347">
        <f t="shared" ca="1" si="55"/>
        <v>46022</v>
      </c>
      <c r="Y189" s="452" t="str">
        <f t="shared" ca="1" si="52"/>
        <v>Mer. janvier , 2026</v>
      </c>
      <c r="Z189" s="143">
        <f t="shared" ca="1" si="43"/>
        <v>31</v>
      </c>
      <c r="AA189" s="348">
        <f t="shared" ca="1" si="44"/>
        <v>1</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Mer</v>
      </c>
      <c r="U190" s="186" t="str">
        <f t="shared" ca="1" si="51"/>
        <v>janvier</v>
      </c>
      <c r="X190" s="347">
        <f t="shared" ca="1" si="55"/>
        <v>46022</v>
      </c>
      <c r="Y190" s="452" t="str">
        <f t="shared" ca="1" si="52"/>
        <v>Mer. janvier , 2026</v>
      </c>
      <c r="Z190" s="143">
        <f t="shared" ca="1" si="43"/>
        <v>31</v>
      </c>
      <c r="AA190" s="348">
        <f t="shared" ca="1" si="44"/>
        <v>1</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Mer</v>
      </c>
      <c r="U191" s="186" t="str">
        <f t="shared" ca="1" si="51"/>
        <v>janvier</v>
      </c>
      <c r="X191" s="347">
        <f t="shared" ca="1" si="55"/>
        <v>46022</v>
      </c>
      <c r="Y191" s="452" t="str">
        <f t="shared" ca="1" si="52"/>
        <v>Mer. janvier , 2026</v>
      </c>
      <c r="Z191" s="143">
        <f t="shared" ca="1" si="43"/>
        <v>31</v>
      </c>
      <c r="AA191" s="348">
        <f t="shared" ca="1" si="44"/>
        <v>1</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Mer</v>
      </c>
      <c r="U192" s="186" t="str">
        <f t="shared" ca="1" si="51"/>
        <v>janvier</v>
      </c>
      <c r="X192" s="347">
        <f t="shared" ca="1" si="55"/>
        <v>46022</v>
      </c>
      <c r="Y192" s="452" t="str">
        <f t="shared" ca="1" si="52"/>
        <v>Mer. janvier , 2026</v>
      </c>
      <c r="Z192" s="143">
        <f t="shared" ca="1" si="43"/>
        <v>31</v>
      </c>
      <c r="AA192" s="348">
        <f t="shared" ca="1" si="44"/>
        <v>1</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6"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Mer</v>
      </c>
      <c r="U193" s="186" t="str">
        <f t="shared" ca="1" si="51"/>
        <v>janvier</v>
      </c>
      <c r="X193" s="347">
        <f t="shared" ca="1" si="55"/>
        <v>46022</v>
      </c>
      <c r="Y193" s="452" t="str">
        <f t="shared" ca="1" si="52"/>
        <v>Mer. janvier , 2026</v>
      </c>
      <c r="Z193" s="143">
        <f t="shared" ca="1" si="43"/>
        <v>31</v>
      </c>
      <c r="AA193" s="348">
        <f t="shared" ca="1" si="44"/>
        <v>1</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6"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Mer</v>
      </c>
      <c r="U194" s="186" t="str">
        <f t="shared" ca="1" si="51"/>
        <v>janvier</v>
      </c>
      <c r="X194" s="347">
        <f t="shared" ca="1" si="55"/>
        <v>46022</v>
      </c>
      <c r="Y194" s="452" t="str">
        <f t="shared" ca="1" si="52"/>
        <v>Mer. janvier , 2026</v>
      </c>
      <c r="Z194" s="143">
        <f t="shared" ca="1" si="43"/>
        <v>31</v>
      </c>
      <c r="AA194" s="348">
        <f t="shared" ca="1" si="44"/>
        <v>1</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6"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6"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6"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6"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26"/>
      <c r="S199" s="19"/>
      <c r="Z199" s="246">
        <f ca="1">AC198</f>
        <v>31</v>
      </c>
      <c r="AA199" s="121"/>
    </row>
    <row r="200" spans="1:256"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6"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6"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6" ht="13.2" hidden="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6" ht="13.2" hidden="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6" ht="13.2" hidden="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6" ht="13.2" hidden="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6" ht="13.2" hidden="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6" ht="13.2" hidden="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3.2" hidden="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3.2" hidden="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3.2" hidden="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3.2" hidden="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3.2" hidden="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3.2" hidden="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3.2" hidden="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3.2" hidden="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3.2" hidden="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3.2" hidden="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3.2" hidden="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3.2" hidden="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3.2" hidden="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3.2" hidden="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3.2" hidden="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3.2" hidden="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3.2" hidden="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3.2" hidden="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3.2" hidden="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3.2" hidden="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3.2" hidden="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3.2" hidden="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3.2" hidden="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3.2" hidden="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3.2" hidden="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3.2" hidden="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3.2" hidden="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3.2" hidden="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3.2" hidden="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3.2" hidden="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3.2" hidden="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3.2" hidden="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3.2" hidden="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3.2" hidden="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3.2" hidden="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3.2" hidden="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3.2" hidden="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3.2" hidden="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3.2" hidden="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3.2" hidden="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3.2" hidden="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3.2" hidden="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3.2" hidden="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3.2" hidden="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3.2" hidden="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3.2" hidden="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3.2" hidden="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3.2" hidden="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3.2" hidden="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3.2" hidden="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3.2" hidden="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3.2" hidden="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3.2" hidden="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3.2" hidden="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3.2" hidden="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3.2" hidden="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3.2" hidden="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3.2" hidden="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3.2" hidden="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3.2" hidden="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3.2" hidden="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3.2" hidden="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3.2" hidden="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3.2" hidden="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3.2" hidden="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3.2" hidden="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3.2" hidden="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3.2" hidden="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3.2" hidden="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3.2" hidden="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3.2" hidden="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3.2" hidden="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3.2" hidden="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3.2" hidden="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3.2" hidden="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3.2" hidden="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3.2" hidden="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3.2" hidden="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3.2" hidden="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3.2" hidden="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3.2" hidden="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3.2" hidden="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3.2" hidden="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3.2" hidden="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3.2" hidden="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3.2" hidden="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3.2" hidden="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3.2" hidden="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3.2" hidden="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3.2" hidden="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3.2" hidden="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3.2" hidden="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3.2" hidden="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3.2" hidden="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3.2" hidden="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3.2" hidden="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3.2" hidden="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3.2" hidden="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3.2" hidden="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3.2" hidden="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3.2" hidden="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3.2" hidden="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3.2" hidden="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3.2" hidden="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3.2" hidden="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3.2" hidden="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3.2" hidden="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3.2" hidden="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3.2" hidden="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3.2" hidden="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3.2" hidden="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3.2" hidden="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3.2" hidden="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3.2" hidden="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3.2" hidden="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3.2" hidden="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3.2" hidden="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3.2" hidden="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3.2" hidden="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3.2" hidden="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3.2" hidden="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3.2" hidden="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3.2" hidden="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3.2" hidden="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3.2" hidden="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3.2" hidden="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3.2" hidden="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3.2" hidden="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3.2" hidden="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3.2" hidden="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3.2" hidden="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3.2" hidden="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3.2" hidden="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3.2" hidden="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3.2" hidden="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3.2" hidden="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3.2" hidden="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3.2" hidden="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3.2" hidden="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3.2" hidden="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3.2" hidden="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3.2" hidden="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3.2" hidden="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3.2" hidden="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3.2" hidden="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3.2" hidden="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3.2" hidden="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3.2" hidden="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3.2" hidden="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3.2" hidden="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3.2" hidden="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3.2" hidden="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3.2" hidden="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3.2" hidden="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3.2" hidden="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3.2" hidden="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3.2" hidden="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3.2" hidden="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3.2" hidden="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3.2" hidden="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3.2" hidden="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3.2" hidden="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3.2" hidden="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3.2" hidden="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3.2" hidden="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3.2" hidden="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3.2" hidden="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3.2" hidden="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3.2" hidden="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3.2" hidden="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3.2" hidden="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3.2" hidden="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3.2" hidden="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3.2" hidden="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3.2" hidden="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3.2" hidden="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3.2" hidden="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3.2" hidden="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3.2" hidden="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3.2" hidden="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3.2" hidden="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3.2" hidden="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3.2" hidden="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3.2" hidden="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3.2" hidden="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3.2" hidden="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3.2" hidden="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3.2" hidden="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3.2" hidden="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3.2" hidden="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3.2" hidden="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3.2" hidden="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3.2" hidden="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3.2" hidden="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3.2" hidden="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3.2" hidden="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3.2" hidden="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3.2" hidden="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3.2" hidden="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3.2" hidden="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3.2" hidden="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3.2" hidden="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3.2" hidden="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3.2" hidden="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3.2" hidden="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3.2" hidden="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3.2" hidden="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3.2" hidden="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3.2" hidden="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3.2" hidden="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3.2" hidden="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3.2" hidden="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3.2" hidden="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3.2" hidden="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3.2" hidden="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3.2" hidden="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3.2" hidden="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3.2" hidden="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3.2" hidden="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3.2" hidden="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3.2" hidden="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3.2" hidden="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3.2" hidden="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3.2" hidden="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3.2" hidden="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3.2" hidden="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3.2" hidden="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3.2" hidden="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3.2" hidden="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3.2" hidden="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3.2" hidden="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3.2" hidden="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3.2" hidden="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3.2" hidden="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3.2" hidden="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3.2" hidden="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3.2" hidden="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3.2" hidden="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3.2" hidden="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3.2" hidden="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3.2" hidden="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3.2" hidden="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3.2" hidden="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3.2" hidden="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3.2" hidden="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3.2" hidden="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3.2" hidden="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3.2" hidden="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3.2" hidden="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3.2" hidden="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3.2" hidden="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3.2" hidden="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3.2" hidden="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3.2" hidden="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3.2" hidden="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3.2" hidden="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3.2" hidden="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3.2" hidden="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3.2" hidden="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3.2" hidden="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3.2" hidden="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3.2" hidden="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3.2" hidden="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3.2" hidden="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3.2" hidden="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3.2" hidden="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3.2" hidden="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3.2" hidden="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3.2" hidden="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3.2" hidden="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3.2" hidden="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3.2" hidden="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3.2" hidden="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3.2" hidden="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3.2" hidden="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3.2" hidden="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3.2" hidden="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3.2" hidden="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3.2" hidden="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3.2" hidden="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3.2" hidden="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3.2" hidden="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3.2" hidden="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3.2" hidden="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3.2" hidden="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3.2" hidden="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3.2" hidden="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3.2" hidden="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3.2" hidden="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3.2" hidden="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3.2" hidden="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3.2" hidden="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3.2" hidden="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B13:B15">
    <cfRule type="expression" dxfId="810" priority="58" stopIfTrue="1">
      <formula>AND($AJ$2=$AF$5,$X$16=$X$13)</formula>
    </cfRule>
  </conditionalFormatting>
  <conditionalFormatting sqref="B18">
    <cfRule type="expression" dxfId="809" priority="37" stopIfTrue="1">
      <formula>(B18&gt;DATE(2000+$Y$2,$AA$21+1,1)-DATE(2000+$Y$2,$AA$21,1))</formula>
    </cfRule>
  </conditionalFormatting>
  <conditionalFormatting sqref="B20:B194">
    <cfRule type="expression" dxfId="808" priority="4" stopIfTrue="1">
      <formula>($G20="- -")</formula>
    </cfRule>
  </conditionalFormatting>
  <conditionalFormatting sqref="B16:J16">
    <cfRule type="expression" dxfId="807" priority="44" stopIfTrue="1">
      <formula>AND($AJ$2=$AF$5,$X$16=$X$13)</formula>
    </cfRule>
  </conditionalFormatting>
  <conditionalFormatting sqref="C17">
    <cfRule type="cellIs" dxfId="806" priority="43" stopIfTrue="1" operator="equal">
      <formula>"X"</formula>
    </cfRule>
  </conditionalFormatting>
  <conditionalFormatting sqref="C20:C194">
    <cfRule type="expression" dxfId="805" priority="12" stopIfTrue="1">
      <formula>($X$16=$X$14)</formula>
    </cfRule>
    <cfRule type="expression" dxfId="804" priority="13" stopIfTrue="1">
      <formula>($AV20=1)</formula>
    </cfRule>
    <cfRule type="expression" dxfId="803" priority="14" stopIfTrue="1">
      <formula>AND(D20=1+D19,G20=X20)</formula>
    </cfRule>
  </conditionalFormatting>
  <conditionalFormatting sqref="C10:D10">
    <cfRule type="expression" dxfId="802" priority="1" stopIfTrue="1">
      <formula>AND(ISNUMBER(C$9),ISNUMBER(C11),(C$9&gt;C$10))</formula>
    </cfRule>
  </conditionalFormatting>
  <conditionalFormatting sqref="C9:J9">
    <cfRule type="expression" dxfId="801" priority="69" stopIfTrue="1">
      <formula>AND(ISNUMBER(C$9),ISNUMBER(C10),(C$9&gt;C$10))</formula>
    </cfRule>
  </conditionalFormatting>
  <conditionalFormatting sqref="C10:J10">
    <cfRule type="expression" dxfId="800" priority="75" stopIfTrue="1">
      <formula>AND(ISNUMBER(C$9),ISNUMBER(C10),(C$9&gt;C$10))</formula>
    </cfRule>
  </conditionalFormatting>
  <conditionalFormatting sqref="D20">
    <cfRule type="expression" dxfId="799" priority="16" stopIfTrue="1">
      <formula>AND($G20&lt;&gt;"- -",$G20&lt;&gt;$Y20)</formula>
    </cfRule>
    <cfRule type="expression" dxfId="798" priority="17" stopIfTrue="1">
      <formula>($AI20=1)</formula>
    </cfRule>
  </conditionalFormatting>
  <conditionalFormatting sqref="D21:D194">
    <cfRule type="expression" dxfId="797" priority="61" stopIfTrue="1">
      <formula>($AI21=1)</formula>
    </cfRule>
    <cfRule type="expression" dxfId="796" priority="60" stopIfTrue="1">
      <formula>AND($G21&lt;&gt;"- -",$G21&lt;&gt;$Y21)</formula>
    </cfRule>
  </conditionalFormatting>
  <conditionalFormatting sqref="D18:G19">
    <cfRule type="expression" dxfId="795" priority="36" stopIfTrue="1">
      <formula>($AB$16&lt;2)</formula>
    </cfRule>
  </conditionalFormatting>
  <conditionalFormatting sqref="D20:G194">
    <cfRule type="expression" dxfId="794" priority="15" stopIfTrue="1">
      <formula>OR($G20=$G19,$D20=$D19)</formula>
    </cfRule>
  </conditionalFormatting>
  <conditionalFormatting sqref="E8:F8">
    <cfRule type="expression" dxfId="793" priority="71" stopIfTrue="1">
      <formula>AND(ISNUMBER(E$9),ISNUMBER(E10),(E$9&gt;E$10))</formula>
    </cfRule>
    <cfRule type="expression" dxfId="792" priority="70" stopIfTrue="1">
      <formula>(BJ$13&gt;0)</formula>
    </cfRule>
  </conditionalFormatting>
  <conditionalFormatting sqref="E20:G20">
    <cfRule type="expression" dxfId="791" priority="20" stopIfTrue="1">
      <formula>($AI20+$AX20&gt;0)</formula>
    </cfRule>
    <cfRule type="expression" dxfId="790" priority="19" stopIfTrue="1">
      <formula>AND($G20&lt;&gt;"- -",$G20&lt;&gt;$Y20)</formula>
    </cfRule>
  </conditionalFormatting>
  <conditionalFormatting sqref="E21:G194">
    <cfRule type="expression" dxfId="789" priority="64" stopIfTrue="1">
      <formula>($AI21+$AX21&gt;0)</formula>
    </cfRule>
    <cfRule type="expression" dxfId="788" priority="63" stopIfTrue="1">
      <formula>AND($G21&lt;&gt;"- -",$G21&lt;&gt;$Y21)</formula>
    </cfRule>
  </conditionalFormatting>
  <conditionalFormatting sqref="G8:J8">
    <cfRule type="expression" dxfId="787" priority="73" stopIfTrue="1">
      <formula>AND(ISNUMBER(G$9),ISNUMBER(G10),(G$9&gt;G$10))</formula>
    </cfRule>
    <cfRule type="expression" dxfId="786" priority="72" stopIfTrue="1">
      <formula>(BK$13&gt;0)</formula>
    </cfRule>
  </conditionalFormatting>
  <conditionalFormatting sqref="H6:I7">
    <cfRule type="expression" dxfId="785" priority="74" stopIfTrue="1">
      <formula>AND(ISNUMBER($H$7),$H$7&lt;$I$7)</formula>
    </cfRule>
  </conditionalFormatting>
  <conditionalFormatting sqref="H21:J194">
    <cfRule type="expression" dxfId="784" priority="2" stopIfTrue="1">
      <formula>($D20=$D21)</formula>
    </cfRule>
  </conditionalFormatting>
  <conditionalFormatting sqref="J7">
    <cfRule type="cellIs" dxfId="783" priority="48" stopIfTrue="1" operator="lessThan">
      <formula>0</formula>
    </cfRule>
  </conditionalFormatting>
  <conditionalFormatting sqref="K20:K38">
    <cfRule type="expression" dxfId="782" priority="68" stopIfTrue="1">
      <formula>AND(ISNUMBER(K20),ISNUMBER(L20),OR(K20&lt;L19,K20&gt;L20))</formula>
    </cfRule>
  </conditionalFormatting>
  <conditionalFormatting sqref="K39:K194">
    <cfRule type="expression" dxfId="781" priority="57" stopIfTrue="1">
      <formula>AND(ISNUMBER(K39),OR(K39&lt;L38,K39&gt;L39,$BM39&lt;&gt;1))</formula>
    </cfRule>
  </conditionalFormatting>
  <conditionalFormatting sqref="K18:L18 BE19:BF19">
    <cfRule type="expression" dxfId="780" priority="26" stopIfTrue="1">
      <formula>($K$19=$AL$7)</formula>
    </cfRule>
  </conditionalFormatting>
  <conditionalFormatting sqref="K20:M194">
    <cfRule type="expression" dxfId="779" priority="50" stopIfTrue="1">
      <formula>OR($AJ$2=$AF$5,$AW20=0,$AV20=1,$AG20=99)</formula>
    </cfRule>
  </conditionalFormatting>
  <conditionalFormatting sqref="L20:L38">
    <cfRule type="expression" dxfId="778" priority="66" stopIfTrue="1">
      <formula>AND(ISNUMBER(L20),OR(AND(L20&lt;K19,B20&gt;1),K20&gt;L20))</formula>
    </cfRule>
  </conditionalFormatting>
  <conditionalFormatting sqref="L39:L194">
    <cfRule type="expression" dxfId="777" priority="55" stopIfTrue="1">
      <formula>AND(ISNUMBER(L39),OR(AND(L39&lt;K38,B39&gt;1),K39&gt;L39,$BN39&lt;&gt;1))</formula>
    </cfRule>
  </conditionalFormatting>
  <conditionalFormatting sqref="M19 BG20">
    <cfRule type="cellIs" dxfId="776" priority="41" stopIfTrue="1" operator="equal">
      <formula>0</formula>
    </cfRule>
    <cfRule type="expression" dxfId="775" priority="42" stopIfTrue="1">
      <formula>($AJ$2=$AF$5)</formula>
    </cfRule>
  </conditionalFormatting>
  <conditionalFormatting sqref="M20:M194">
    <cfRule type="expression" dxfId="774" priority="52" stopIfTrue="1">
      <formula>($D19=$D20)</formula>
    </cfRule>
    <cfRule type="cellIs" dxfId="773" priority="51" stopIfTrue="1" operator="lessThan">
      <formula>0</formula>
    </cfRule>
  </conditionalFormatting>
  <conditionalFormatting sqref="N19:Q19 BH20:BK20">
    <cfRule type="cellIs" dxfId="772" priority="39" stopIfTrue="1" operator="equal">
      <formula>0</formula>
    </cfRule>
    <cfRule type="expression" dxfId="771" priority="40" stopIfTrue="1">
      <formula>($AJ$2=$AF$5)</formula>
    </cfRule>
  </conditionalFormatting>
  <conditionalFormatting sqref="N20:Q194">
    <cfRule type="expression" dxfId="770" priority="49" stopIfTrue="1">
      <formula>OR($AW20=0,$AV20=1,$AG20=99,$AJ$2=$AF$5)</formula>
    </cfRule>
  </conditionalFormatting>
  <conditionalFormatting sqref="R20:R194">
    <cfRule type="expression" dxfId="769" priority="9" stopIfTrue="1">
      <formula>OR($G20=$G19,$D20=$D19)</formula>
    </cfRule>
    <cfRule type="expression" dxfId="768" priority="11" stopIfTrue="1">
      <formula>($AI20=1)</formula>
    </cfRule>
    <cfRule type="expression" dxfId="767" priority="10" stopIfTrue="1">
      <formula>"ND($G21&lt;&gt;""- -"",$G21&lt;&gt;TEXT(X21,""Dddd, Mmmm dd, Yyyy""))"</formula>
    </cfRule>
  </conditionalFormatting>
  <conditionalFormatting sqref="U5">
    <cfRule type="expression" dxfId="766" priority="22" stopIfTrue="1">
      <formula>OR($AC$7,$AC$6)</formula>
    </cfRule>
  </conditionalFormatting>
  <conditionalFormatting sqref="U18 X20:Z194 AC20:AE194 AK20:AK194 AQ20:AR194">
    <cfRule type="cellIs" dxfId="765" priority="3" stopIfTrue="1" operator="notEqual">
      <formula>U17</formula>
    </cfRule>
  </conditionalFormatting>
  <conditionalFormatting sqref="U201:AB201">
    <cfRule type="expression" dxfId="764" priority="38" stopIfTrue="1">
      <formula>(LEN($X$11)&gt;4)</formula>
    </cfRule>
  </conditionalFormatting>
  <conditionalFormatting sqref="V5:V7 J6 U6:U7">
    <cfRule type="expression" dxfId="763" priority="21" stopIfTrue="1">
      <formula>OR($AC$7,$AC$6,#REF!)</formula>
    </cfRule>
  </conditionalFormatting>
  <conditionalFormatting sqref="V19">
    <cfRule type="cellIs" dxfId="762" priority="23" stopIfTrue="1" operator="equal">
      <formula>1</formula>
    </cfRule>
  </conditionalFormatting>
  <conditionalFormatting sqref="AB6">
    <cfRule type="expression" dxfId="761" priority="29" stopIfTrue="1">
      <formula>$AC$6</formula>
    </cfRule>
  </conditionalFormatting>
  <conditionalFormatting sqref="AB7">
    <cfRule type="expression" dxfId="760" priority="28" stopIfTrue="1">
      <formula>$AC$7</formula>
    </cfRule>
  </conditionalFormatting>
  <conditionalFormatting sqref="AB20:AB194">
    <cfRule type="cellIs" dxfId="759" priority="46" stopIfTrue="1" operator="greaterThan">
      <formula>0</formula>
    </cfRule>
    <cfRule type="cellIs" dxfId="758" priority="47" stopIfTrue="1" operator="lessThan">
      <formula>0</formula>
    </cfRule>
  </conditionalFormatting>
  <conditionalFormatting sqref="AF20:AG194">
    <cfRule type="cellIs" dxfId="757" priority="32" stopIfTrue="1" operator="greaterThan">
      <formula>1</formula>
    </cfRule>
  </conditionalFormatting>
  <conditionalFormatting sqref="AJ16:AJ17 AJ20:AJ194">
    <cfRule type="cellIs" dxfId="756" priority="31" stopIfTrue="1" operator="greaterThan">
      <formula>0</formula>
    </cfRule>
  </conditionalFormatting>
  <conditionalFormatting sqref="AK2:BO2">
    <cfRule type="cellIs" dxfId="755" priority="35" stopIfTrue="1" operator="equal">
      <formula>0</formula>
    </cfRule>
  </conditionalFormatting>
  <conditionalFormatting sqref="AK5:BO6">
    <cfRule type="cellIs" dxfId="754" priority="30" stopIfTrue="1" operator="equal">
      <formula>0</formula>
    </cfRule>
  </conditionalFormatting>
  <conditionalFormatting sqref="AP20:AP194">
    <cfRule type="cellIs" dxfId="753" priority="25" stopIfTrue="1" operator="lessThan">
      <formula>999</formula>
    </cfRule>
  </conditionalFormatting>
  <conditionalFormatting sqref="AU20:AU194">
    <cfRule type="expression" dxfId="752" priority="34" stopIfTrue="1">
      <formula>LEN(AU20)&gt;2</formula>
    </cfRule>
  </conditionalFormatting>
  <conditionalFormatting sqref="AV20:AV194">
    <cfRule type="cellIs" dxfId="751" priority="33" stopIfTrue="1" operator="equal">
      <formula>1</formula>
    </cfRule>
  </conditionalFormatting>
  <conditionalFormatting sqref="AW20:AW194">
    <cfRule type="cellIs" dxfId="750" priority="45" stopIfTrue="1" operator="equal">
      <formula>0</formula>
    </cfRule>
  </conditionalFormatting>
  <conditionalFormatting sqref="BE20:BF20">
    <cfRule type="expression" dxfId="749" priority="27" stopIfTrue="1">
      <formula>($K$19=$AL$7)</formula>
    </cfRule>
  </conditionalFormatting>
  <conditionalFormatting sqref="BI10:BI12 BF11:BF12">
    <cfRule type="expression" dxfId="748" priority="6" stopIfTrue="1">
      <formula>(LEN($C$9)=0)</formula>
    </cfRule>
  </conditionalFormatting>
  <conditionalFormatting sqref="BI10:BN12 BF11:BF12">
    <cfRule type="expression" dxfId="747" priority="5" stopIfTrue="1">
      <formula>LEN($AA9)&gt;4</formula>
    </cfRule>
  </conditionalFormatting>
  <conditionalFormatting sqref="BJ10:BN12">
    <cfRule type="expression" dxfId="746" priority="8" stopIfTrue="1">
      <formula>(LEN(E$9)=0)</formula>
    </cfRule>
  </conditionalFormatting>
  <conditionalFormatting sqref="BJ13:BN13 R16:R17">
    <cfRule type="cellIs" dxfId="745" priority="24" stopIfTrue="1" operator="equal">
      <formula>0</formula>
    </cfRule>
  </conditionalFormatting>
  <conditionalFormatting sqref="BM20:BN194">
    <cfRule type="cellIs" dxfId="744" priority="53" stopIfTrue="1" operator="notEqual">
      <formula>1</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automobile/2026/[electronic-car-log-2025-fr.xlsx]02</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02</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28</v>
      </c>
      <c r="BN4" s="121">
        <f t="shared" ca="1" si="0"/>
        <v>28</v>
      </c>
      <c r="BO4" s="121">
        <f t="shared" ca="1" si="0"/>
        <v>28</v>
      </c>
      <c r="BQ4" s="251"/>
      <c r="BR4" s="7"/>
      <c r="BS4" s="7"/>
      <c r="BT4" s="7"/>
      <c r="IU4" s="16"/>
    </row>
    <row r="5" spans="1:255" ht="15.75" customHeight="1">
      <c r="B5" s="767" t="str">
        <f ca="1">V17</f>
        <v>février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February</v>
      </c>
      <c r="AF5" s="136">
        <f ca="1">DATE(AE7,AD6+1,1)-DATE(AE7,AD6,1)</f>
        <v>28</v>
      </c>
      <c r="AG5" s="178" t="str">
        <f ca="1">'NTS ONLY_set_year'!E104&amp;$AF$5&amp;'NTS ONLY_set_year'!E7</f>
        <v>◄ ◄ ◄ Seulement 28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28</v>
      </c>
      <c r="V6" s="263" t="str">
        <f>'NTS ONLY_set_year'!E53</f>
        <v>Jours de disponibilité du véhicule à des fins personnelles</v>
      </c>
      <c r="W6" s="264"/>
      <c r="X6" s="264"/>
      <c r="Y6" s="264"/>
      <c r="Z6" s="264"/>
      <c r="AA6" s="265">
        <f>$D$7</f>
        <v>0</v>
      </c>
      <c r="AB6" s="141"/>
      <c r="AC6" s="142"/>
      <c r="AD6" s="266">
        <f ca="1">MATCH(AD4,'Annual Summary_Sommaire annuel'!$Y$24:$Y$35,0)</f>
        <v>2</v>
      </c>
      <c r="AE6" s="144" t="str">
        <f ca="1">TEXT(DATE($AE$7,$AD$6,1),"Mmmm, YYYY")</f>
        <v>February, 2026</v>
      </c>
      <c r="AF6" s="145">
        <f ca="1">$AF$5</f>
        <v>28</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28</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46053</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28</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28</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février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February</v>
      </c>
      <c r="V18" s="510" t="str">
        <f ca="1">AE6</f>
        <v>February,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février</v>
      </c>
      <c r="V19" s="510" t="str">
        <f ca="1">U19&amp;" "&amp;Year_four_digits</f>
        <v>février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Dim.  1 février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Dim</v>
      </c>
      <c r="U20" s="186" t="str">
        <f ca="1">$U$19</f>
        <v>février</v>
      </c>
      <c r="X20" s="347">
        <f ca="1">$AE$8+D20</f>
        <v>46054</v>
      </c>
      <c r="Y20" s="452" t="str">
        <f ca="1">IF(Y14="f",T20&amp;". "&amp;" "&amp;R20&amp;" "&amp;U20&amp;" "&amp;$AE$7,T20&amp;". "&amp;U20&amp;" "&amp;R20&amp;", "&amp;$AE$7)</f>
        <v>Dim.  1 février 2026</v>
      </c>
      <c r="Z20" s="143">
        <f t="shared" ref="Z20:Z83" ca="1" si="4">MIN(R20,$AF$5)</f>
        <v>1</v>
      </c>
      <c r="AA20" s="348">
        <f t="shared" ref="AA20:AA83" ca="1" si="5">$AD$6</f>
        <v>2</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28</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Sam</v>
      </c>
      <c r="U21" s="186" t="str">
        <f t="shared" ref="U21:U84" ca="1" si="13">$U$19</f>
        <v>février</v>
      </c>
      <c r="X21" s="347">
        <f ca="1">$AE$8+D21</f>
        <v>46053</v>
      </c>
      <c r="Y21" s="452" t="str">
        <f t="shared" ref="Y21:Y84" ca="1" si="14">IF(Y15="f",T21&amp;". "&amp;" "&amp;R21&amp;" "&amp;U21&amp;" "&amp;$AE$7,T21&amp;". "&amp;U21&amp;" "&amp;R21&amp;", "&amp;$AE$7)</f>
        <v>Sam. février , 2026</v>
      </c>
      <c r="Z21" s="143">
        <f t="shared" ca="1" si="4"/>
        <v>28</v>
      </c>
      <c r="AA21" s="348">
        <f t="shared" ca="1" si="5"/>
        <v>2</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Sam</v>
      </c>
      <c r="U22" s="186" t="str">
        <f t="shared" ca="1" si="13"/>
        <v>février</v>
      </c>
      <c r="X22" s="347">
        <f t="shared" ref="X22:X85" ca="1" si="17">$AE$8+D22</f>
        <v>46053</v>
      </c>
      <c r="Y22" s="452" t="str">
        <f t="shared" ca="1" si="14"/>
        <v>Sam. février , 2026</v>
      </c>
      <c r="Z22" s="143">
        <f t="shared" ca="1" si="4"/>
        <v>28</v>
      </c>
      <c r="AA22" s="348">
        <f t="shared" ca="1" si="5"/>
        <v>2</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Sam</v>
      </c>
      <c r="U23" s="186" t="str">
        <f t="shared" ca="1" si="13"/>
        <v>février</v>
      </c>
      <c r="X23" s="347">
        <f t="shared" ca="1" si="17"/>
        <v>46053</v>
      </c>
      <c r="Y23" s="452" t="str">
        <f t="shared" ca="1" si="14"/>
        <v>Sam. février , 2026</v>
      </c>
      <c r="Z23" s="143">
        <f t="shared" ca="1" si="4"/>
        <v>28</v>
      </c>
      <c r="AA23" s="348">
        <f t="shared" ca="1" si="5"/>
        <v>2</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Sam</v>
      </c>
      <c r="U24" s="186" t="str">
        <f t="shared" ca="1" si="13"/>
        <v>février</v>
      </c>
      <c r="X24" s="347">
        <f t="shared" ca="1" si="17"/>
        <v>46053</v>
      </c>
      <c r="Y24" s="452" t="str">
        <f t="shared" ca="1" si="14"/>
        <v>Sam. février , 2026</v>
      </c>
      <c r="Z24" s="143">
        <f t="shared" ca="1" si="4"/>
        <v>28</v>
      </c>
      <c r="AA24" s="348">
        <f t="shared" ca="1" si="5"/>
        <v>2</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Sam</v>
      </c>
      <c r="U25" s="186" t="str">
        <f t="shared" ca="1" si="13"/>
        <v>février</v>
      </c>
      <c r="X25" s="347">
        <f t="shared" ca="1" si="17"/>
        <v>46053</v>
      </c>
      <c r="Y25" s="452" t="str">
        <f t="shared" ca="1" si="14"/>
        <v>Sam. février , 2026</v>
      </c>
      <c r="Z25" s="143">
        <f t="shared" ca="1" si="4"/>
        <v>28</v>
      </c>
      <c r="AA25" s="348">
        <f t="shared" ca="1" si="5"/>
        <v>2</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Sam</v>
      </c>
      <c r="U26" s="186" t="str">
        <f t="shared" ca="1" si="13"/>
        <v>février</v>
      </c>
      <c r="X26" s="347">
        <f t="shared" ca="1" si="17"/>
        <v>46053</v>
      </c>
      <c r="Y26" s="452" t="str">
        <f t="shared" ca="1" si="14"/>
        <v>Sam. février , 2026</v>
      </c>
      <c r="Z26" s="143">
        <f t="shared" ca="1" si="4"/>
        <v>28</v>
      </c>
      <c r="AA26" s="348">
        <f t="shared" ca="1" si="5"/>
        <v>2</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Sam</v>
      </c>
      <c r="U27" s="186" t="str">
        <f t="shared" ca="1" si="13"/>
        <v>février</v>
      </c>
      <c r="X27" s="347">
        <f t="shared" ca="1" si="17"/>
        <v>46053</v>
      </c>
      <c r="Y27" s="452" t="str">
        <f t="shared" ca="1" si="14"/>
        <v>Sam. février , 2026</v>
      </c>
      <c r="Z27" s="143">
        <f t="shared" ca="1" si="4"/>
        <v>28</v>
      </c>
      <c r="AA27" s="348">
        <f t="shared" ca="1" si="5"/>
        <v>2</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Sam</v>
      </c>
      <c r="U28" s="186" t="str">
        <f t="shared" ca="1" si="13"/>
        <v>février</v>
      </c>
      <c r="X28" s="347">
        <f t="shared" ca="1" si="17"/>
        <v>46053</v>
      </c>
      <c r="Y28" s="452" t="str">
        <f t="shared" ca="1" si="14"/>
        <v>Sam. février , 2026</v>
      </c>
      <c r="Z28" s="143">
        <f t="shared" ca="1" si="4"/>
        <v>28</v>
      </c>
      <c r="AA28" s="348">
        <f t="shared" ca="1" si="5"/>
        <v>2</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Sam</v>
      </c>
      <c r="U29" s="186" t="str">
        <f t="shared" ca="1" si="13"/>
        <v>février</v>
      </c>
      <c r="X29" s="347">
        <f t="shared" ca="1" si="17"/>
        <v>46053</v>
      </c>
      <c r="Y29" s="452" t="str">
        <f t="shared" ca="1" si="14"/>
        <v>Sam. février , 2026</v>
      </c>
      <c r="Z29" s="143">
        <f t="shared" ca="1" si="4"/>
        <v>28</v>
      </c>
      <c r="AA29" s="348">
        <f t="shared" ca="1" si="5"/>
        <v>2</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Sam</v>
      </c>
      <c r="U30" s="186" t="str">
        <f t="shared" ca="1" si="13"/>
        <v>février</v>
      </c>
      <c r="X30" s="347">
        <f t="shared" ca="1" si="17"/>
        <v>46053</v>
      </c>
      <c r="Y30" s="452" t="str">
        <f t="shared" ca="1" si="14"/>
        <v>Sam. février , 2026</v>
      </c>
      <c r="Z30" s="143">
        <f t="shared" ca="1" si="4"/>
        <v>28</v>
      </c>
      <c r="AA30" s="348">
        <f t="shared" ca="1" si="5"/>
        <v>2</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Sam</v>
      </c>
      <c r="U31" s="186" t="str">
        <f t="shared" ca="1" si="13"/>
        <v>février</v>
      </c>
      <c r="X31" s="347">
        <f t="shared" ca="1" si="17"/>
        <v>46053</v>
      </c>
      <c r="Y31" s="452" t="str">
        <f t="shared" ca="1" si="14"/>
        <v>Sam. février , 2026</v>
      </c>
      <c r="Z31" s="143">
        <f t="shared" ca="1" si="4"/>
        <v>28</v>
      </c>
      <c r="AA31" s="348">
        <f t="shared" ca="1" si="5"/>
        <v>2</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Sam</v>
      </c>
      <c r="U32" s="186" t="str">
        <f t="shared" ca="1" si="13"/>
        <v>février</v>
      </c>
      <c r="X32" s="347">
        <f t="shared" ca="1" si="17"/>
        <v>46053</v>
      </c>
      <c r="Y32" s="452" t="str">
        <f t="shared" ca="1" si="14"/>
        <v>Sam. février , 2026</v>
      </c>
      <c r="Z32" s="143">
        <f t="shared" ca="1" si="4"/>
        <v>28</v>
      </c>
      <c r="AA32" s="348">
        <f t="shared" ca="1" si="5"/>
        <v>2</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Sam</v>
      </c>
      <c r="U33" s="186" t="str">
        <f t="shared" ca="1" si="13"/>
        <v>février</v>
      </c>
      <c r="X33" s="347">
        <f t="shared" ca="1" si="17"/>
        <v>46053</v>
      </c>
      <c r="Y33" s="452" t="str">
        <f t="shared" ca="1" si="14"/>
        <v>Sam. février , 2026</v>
      </c>
      <c r="Z33" s="143">
        <f t="shared" ca="1" si="4"/>
        <v>28</v>
      </c>
      <c r="AA33" s="348">
        <f t="shared" ca="1" si="5"/>
        <v>2</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Sam</v>
      </c>
      <c r="U34" s="186" t="str">
        <f t="shared" ca="1" si="13"/>
        <v>février</v>
      </c>
      <c r="X34" s="347">
        <f t="shared" ca="1" si="17"/>
        <v>46053</v>
      </c>
      <c r="Y34" s="452" t="str">
        <f t="shared" ca="1" si="14"/>
        <v>Sam. février , 2026</v>
      </c>
      <c r="Z34" s="143">
        <f t="shared" ca="1" si="4"/>
        <v>28</v>
      </c>
      <c r="AA34" s="348">
        <f t="shared" ca="1" si="5"/>
        <v>2</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Sam</v>
      </c>
      <c r="U35" s="186" t="str">
        <f t="shared" ca="1" si="13"/>
        <v>février</v>
      </c>
      <c r="X35" s="347">
        <f t="shared" ca="1" si="17"/>
        <v>46053</v>
      </c>
      <c r="Y35" s="452" t="str">
        <f t="shared" ca="1" si="14"/>
        <v>Sam. février , 2026</v>
      </c>
      <c r="Z35" s="143">
        <f t="shared" ca="1" si="4"/>
        <v>28</v>
      </c>
      <c r="AA35" s="348">
        <f t="shared" ca="1" si="5"/>
        <v>2</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Sam</v>
      </c>
      <c r="U36" s="186" t="str">
        <f t="shared" ca="1" si="13"/>
        <v>février</v>
      </c>
      <c r="X36" s="347">
        <f t="shared" ca="1" si="17"/>
        <v>46053</v>
      </c>
      <c r="Y36" s="452" t="str">
        <f t="shared" ca="1" si="14"/>
        <v>Sam. février , 2026</v>
      </c>
      <c r="Z36" s="143">
        <f t="shared" ca="1" si="4"/>
        <v>28</v>
      </c>
      <c r="AA36" s="348">
        <f t="shared" ca="1" si="5"/>
        <v>2</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Sam</v>
      </c>
      <c r="U37" s="186" t="str">
        <f t="shared" ca="1" si="13"/>
        <v>février</v>
      </c>
      <c r="X37" s="347">
        <f t="shared" ca="1" si="17"/>
        <v>46053</v>
      </c>
      <c r="Y37" s="452" t="str">
        <f t="shared" ca="1" si="14"/>
        <v>Sam. février , 2026</v>
      </c>
      <c r="Z37" s="143">
        <f t="shared" ca="1" si="4"/>
        <v>28</v>
      </c>
      <c r="AA37" s="348">
        <f t="shared" ca="1" si="5"/>
        <v>2</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Sam</v>
      </c>
      <c r="U38" s="186" t="str">
        <f t="shared" ca="1" si="13"/>
        <v>février</v>
      </c>
      <c r="X38" s="347">
        <f t="shared" ca="1" si="17"/>
        <v>46053</v>
      </c>
      <c r="Y38" s="452" t="str">
        <f t="shared" ca="1" si="14"/>
        <v>Sam. février , 2026</v>
      </c>
      <c r="Z38" s="143">
        <f t="shared" ca="1" si="4"/>
        <v>28</v>
      </c>
      <c r="AA38" s="348">
        <f t="shared" ca="1" si="5"/>
        <v>2</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Sam</v>
      </c>
      <c r="U39" s="186" t="str">
        <f t="shared" ca="1" si="13"/>
        <v>février</v>
      </c>
      <c r="X39" s="347">
        <f t="shared" ca="1" si="17"/>
        <v>46053</v>
      </c>
      <c r="Y39" s="452" t="str">
        <f t="shared" ca="1" si="14"/>
        <v>Sam. février , 2026</v>
      </c>
      <c r="Z39" s="143">
        <f t="shared" ca="1" si="4"/>
        <v>28</v>
      </c>
      <c r="AA39" s="348">
        <f t="shared" ca="1" si="5"/>
        <v>2</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Sam</v>
      </c>
      <c r="U40" s="186" t="str">
        <f t="shared" ca="1" si="13"/>
        <v>février</v>
      </c>
      <c r="X40" s="347">
        <f t="shared" ca="1" si="17"/>
        <v>46053</v>
      </c>
      <c r="Y40" s="452" t="str">
        <f t="shared" ca="1" si="14"/>
        <v>Sam. février , 2026</v>
      </c>
      <c r="Z40" s="143">
        <f t="shared" ca="1" si="4"/>
        <v>28</v>
      </c>
      <c r="AA40" s="348">
        <f t="shared" ca="1" si="5"/>
        <v>2</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Sam</v>
      </c>
      <c r="U41" s="186" t="str">
        <f t="shared" ca="1" si="13"/>
        <v>février</v>
      </c>
      <c r="X41" s="347">
        <f t="shared" ca="1" si="17"/>
        <v>46053</v>
      </c>
      <c r="Y41" s="452" t="str">
        <f t="shared" ca="1" si="14"/>
        <v>Sam. février , 2026</v>
      </c>
      <c r="Z41" s="143">
        <f t="shared" ca="1" si="4"/>
        <v>28</v>
      </c>
      <c r="AA41" s="348">
        <f t="shared" ca="1" si="5"/>
        <v>2</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Sam</v>
      </c>
      <c r="U42" s="186" t="str">
        <f t="shared" ca="1" si="13"/>
        <v>février</v>
      </c>
      <c r="X42" s="347">
        <f t="shared" ca="1" si="17"/>
        <v>46053</v>
      </c>
      <c r="Y42" s="452" t="str">
        <f t="shared" ca="1" si="14"/>
        <v>Sam. février , 2026</v>
      </c>
      <c r="Z42" s="143">
        <f t="shared" ca="1" si="4"/>
        <v>28</v>
      </c>
      <c r="AA42" s="348">
        <f t="shared" ca="1" si="5"/>
        <v>2</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Sam</v>
      </c>
      <c r="U43" s="186" t="str">
        <f t="shared" ca="1" si="13"/>
        <v>février</v>
      </c>
      <c r="X43" s="347">
        <f t="shared" ca="1" si="17"/>
        <v>46053</v>
      </c>
      <c r="Y43" s="452" t="str">
        <f t="shared" ca="1" si="14"/>
        <v>Sam. février , 2026</v>
      </c>
      <c r="Z43" s="143">
        <f t="shared" ca="1" si="4"/>
        <v>28</v>
      </c>
      <c r="AA43" s="348">
        <f t="shared" ca="1" si="5"/>
        <v>2</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Sam</v>
      </c>
      <c r="U44" s="186" t="str">
        <f t="shared" ca="1" si="13"/>
        <v>février</v>
      </c>
      <c r="X44" s="347">
        <f t="shared" ca="1" si="17"/>
        <v>46053</v>
      </c>
      <c r="Y44" s="452" t="str">
        <f t="shared" ca="1" si="14"/>
        <v>Sam. février , 2026</v>
      </c>
      <c r="Z44" s="143">
        <f t="shared" ca="1" si="4"/>
        <v>28</v>
      </c>
      <c r="AA44" s="348">
        <f t="shared" ca="1" si="5"/>
        <v>2</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Sam</v>
      </c>
      <c r="U45" s="186" t="str">
        <f t="shared" ca="1" si="13"/>
        <v>février</v>
      </c>
      <c r="X45" s="347">
        <f t="shared" ca="1" si="17"/>
        <v>46053</v>
      </c>
      <c r="Y45" s="452" t="str">
        <f t="shared" ca="1" si="14"/>
        <v>Sam. février , 2026</v>
      </c>
      <c r="Z45" s="143">
        <f t="shared" ca="1" si="4"/>
        <v>28</v>
      </c>
      <c r="AA45" s="348">
        <f t="shared" ca="1" si="5"/>
        <v>2</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Sam</v>
      </c>
      <c r="U46" s="186" t="str">
        <f t="shared" ca="1" si="13"/>
        <v>février</v>
      </c>
      <c r="X46" s="347">
        <f t="shared" ca="1" si="17"/>
        <v>46053</v>
      </c>
      <c r="Y46" s="452" t="str">
        <f t="shared" ca="1" si="14"/>
        <v>Sam. février , 2026</v>
      </c>
      <c r="Z46" s="143">
        <f t="shared" ca="1" si="4"/>
        <v>28</v>
      </c>
      <c r="AA46" s="348">
        <f t="shared" ca="1" si="5"/>
        <v>2</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Sam</v>
      </c>
      <c r="U47" s="186" t="str">
        <f t="shared" ca="1" si="13"/>
        <v>février</v>
      </c>
      <c r="X47" s="347">
        <f t="shared" ca="1" si="17"/>
        <v>46053</v>
      </c>
      <c r="Y47" s="452" t="str">
        <f t="shared" ca="1" si="14"/>
        <v>Sam. février , 2026</v>
      </c>
      <c r="Z47" s="143">
        <f t="shared" ca="1" si="4"/>
        <v>28</v>
      </c>
      <c r="AA47" s="348">
        <f t="shared" ca="1" si="5"/>
        <v>2</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Sam</v>
      </c>
      <c r="U48" s="186" t="str">
        <f t="shared" ca="1" si="13"/>
        <v>février</v>
      </c>
      <c r="X48" s="347">
        <f t="shared" ca="1" si="17"/>
        <v>46053</v>
      </c>
      <c r="Y48" s="452" t="str">
        <f t="shared" ca="1" si="14"/>
        <v>Sam. février , 2026</v>
      </c>
      <c r="Z48" s="143">
        <f t="shared" ca="1" si="4"/>
        <v>28</v>
      </c>
      <c r="AA48" s="348">
        <f t="shared" ca="1" si="5"/>
        <v>2</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623"/>
      <c r="I49" s="624"/>
      <c r="J49" s="534"/>
      <c r="K49" s="555"/>
      <c r="L49" s="556"/>
      <c r="M49" s="557" t="str">
        <f t="shared" si="3"/>
        <v/>
      </c>
      <c r="N49" s="558"/>
      <c r="O49" s="559"/>
      <c r="P49" s="560"/>
      <c r="Q49" s="559"/>
      <c r="R49" s="18" t="str">
        <f t="shared" si="12"/>
        <v/>
      </c>
      <c r="S49" s="36"/>
      <c r="T49" s="120" t="str">
        <f ca="1">INDEX('NTS ONLY_set_year'!E:E,MATCH(TEXT($X49,"Ddd"),'NTS ONLY_set_year'!C:C,0))</f>
        <v>Sam</v>
      </c>
      <c r="U49" s="186" t="str">
        <f t="shared" ca="1" si="13"/>
        <v>février</v>
      </c>
      <c r="X49" s="347">
        <f t="shared" ca="1" si="17"/>
        <v>46053</v>
      </c>
      <c r="Y49" s="452" t="str">
        <f t="shared" ca="1" si="14"/>
        <v>Sam. février , 2026</v>
      </c>
      <c r="Z49" s="143">
        <f t="shared" ca="1" si="4"/>
        <v>28</v>
      </c>
      <c r="AA49" s="348">
        <f t="shared" ca="1" si="5"/>
        <v>2</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Sam</v>
      </c>
      <c r="U50" s="186" t="str">
        <f t="shared" ca="1" si="13"/>
        <v>février</v>
      </c>
      <c r="X50" s="347">
        <f t="shared" ca="1" si="17"/>
        <v>46053</v>
      </c>
      <c r="Y50" s="452" t="str">
        <f t="shared" ca="1" si="14"/>
        <v>Sam. février , 2026</v>
      </c>
      <c r="Z50" s="143">
        <f t="shared" ca="1" si="4"/>
        <v>28</v>
      </c>
      <c r="AA50" s="348">
        <f t="shared" ca="1" si="5"/>
        <v>2</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Sam</v>
      </c>
      <c r="U51" s="186" t="str">
        <f t="shared" ca="1" si="13"/>
        <v>février</v>
      </c>
      <c r="X51" s="347">
        <f t="shared" ca="1" si="17"/>
        <v>46053</v>
      </c>
      <c r="Y51" s="452" t="str">
        <f t="shared" ca="1" si="14"/>
        <v>Sam. février , 2026</v>
      </c>
      <c r="Z51" s="143">
        <f t="shared" ca="1" si="4"/>
        <v>28</v>
      </c>
      <c r="AA51" s="348">
        <f t="shared" ca="1" si="5"/>
        <v>2</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Sam</v>
      </c>
      <c r="U52" s="186" t="str">
        <f t="shared" ca="1" si="13"/>
        <v>février</v>
      </c>
      <c r="X52" s="347">
        <f t="shared" ca="1" si="17"/>
        <v>46053</v>
      </c>
      <c r="Y52" s="452" t="str">
        <f t="shared" ca="1" si="14"/>
        <v>Sam. février , 2026</v>
      </c>
      <c r="Z52" s="143">
        <f t="shared" ca="1" si="4"/>
        <v>28</v>
      </c>
      <c r="AA52" s="348">
        <f t="shared" ca="1" si="5"/>
        <v>2</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Sam</v>
      </c>
      <c r="U53" s="186" t="str">
        <f t="shared" ca="1" si="13"/>
        <v>février</v>
      </c>
      <c r="X53" s="347">
        <f t="shared" ca="1" si="17"/>
        <v>46053</v>
      </c>
      <c r="Y53" s="452" t="str">
        <f t="shared" ca="1" si="14"/>
        <v>Sam. février , 2026</v>
      </c>
      <c r="Z53" s="143">
        <f t="shared" ca="1" si="4"/>
        <v>28</v>
      </c>
      <c r="AA53" s="348">
        <f t="shared" ca="1" si="5"/>
        <v>2</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Sam</v>
      </c>
      <c r="U54" s="186" t="str">
        <f t="shared" ca="1" si="13"/>
        <v>février</v>
      </c>
      <c r="X54" s="347">
        <f t="shared" ca="1" si="17"/>
        <v>46053</v>
      </c>
      <c r="Y54" s="452" t="str">
        <f t="shared" ca="1" si="14"/>
        <v>Sam. février , 2026</v>
      </c>
      <c r="Z54" s="143">
        <f t="shared" ca="1" si="4"/>
        <v>28</v>
      </c>
      <c r="AA54" s="348">
        <f t="shared" ca="1" si="5"/>
        <v>2</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Sam</v>
      </c>
      <c r="U55" s="186" t="str">
        <f t="shared" ca="1" si="13"/>
        <v>février</v>
      </c>
      <c r="X55" s="347">
        <f t="shared" ca="1" si="17"/>
        <v>46053</v>
      </c>
      <c r="Y55" s="452" t="str">
        <f t="shared" ca="1" si="14"/>
        <v>Sam. février , 2026</v>
      </c>
      <c r="Z55" s="143">
        <f t="shared" ca="1" si="4"/>
        <v>28</v>
      </c>
      <c r="AA55" s="348">
        <f t="shared" ca="1" si="5"/>
        <v>2</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Sam</v>
      </c>
      <c r="U56" s="186" t="str">
        <f t="shared" ca="1" si="13"/>
        <v>février</v>
      </c>
      <c r="X56" s="347">
        <f t="shared" ca="1" si="17"/>
        <v>46053</v>
      </c>
      <c r="Y56" s="452" t="str">
        <f t="shared" ca="1" si="14"/>
        <v>Sam. février , 2026</v>
      </c>
      <c r="Z56" s="143">
        <f t="shared" ca="1" si="4"/>
        <v>28</v>
      </c>
      <c r="AA56" s="348">
        <f t="shared" ca="1" si="5"/>
        <v>2</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Sam</v>
      </c>
      <c r="U57" s="186" t="str">
        <f t="shared" ca="1" si="13"/>
        <v>février</v>
      </c>
      <c r="X57" s="347">
        <f t="shared" ca="1" si="17"/>
        <v>46053</v>
      </c>
      <c r="Y57" s="452" t="str">
        <f t="shared" ca="1" si="14"/>
        <v>Sam. février , 2026</v>
      </c>
      <c r="Z57" s="143">
        <f t="shared" ca="1" si="4"/>
        <v>28</v>
      </c>
      <c r="AA57" s="348">
        <f t="shared" ca="1" si="5"/>
        <v>2</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Sam</v>
      </c>
      <c r="U58" s="186" t="str">
        <f t="shared" ca="1" si="13"/>
        <v>février</v>
      </c>
      <c r="X58" s="347">
        <f t="shared" ca="1" si="17"/>
        <v>46053</v>
      </c>
      <c r="Y58" s="452" t="str">
        <f t="shared" ca="1" si="14"/>
        <v>Sam. février , 2026</v>
      </c>
      <c r="Z58" s="143">
        <f t="shared" ca="1" si="4"/>
        <v>28</v>
      </c>
      <c r="AA58" s="348">
        <f t="shared" ca="1" si="5"/>
        <v>2</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Sam</v>
      </c>
      <c r="U59" s="186" t="str">
        <f t="shared" ca="1" si="13"/>
        <v>février</v>
      </c>
      <c r="X59" s="347">
        <f t="shared" ca="1" si="17"/>
        <v>46053</v>
      </c>
      <c r="Y59" s="452" t="str">
        <f t="shared" ca="1" si="14"/>
        <v>Sam. février , 2026</v>
      </c>
      <c r="Z59" s="143">
        <f t="shared" ca="1" si="4"/>
        <v>28</v>
      </c>
      <c r="AA59" s="348">
        <f t="shared" ca="1" si="5"/>
        <v>2</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Sam</v>
      </c>
      <c r="U60" s="186" t="str">
        <f t="shared" ca="1" si="13"/>
        <v>février</v>
      </c>
      <c r="X60" s="347">
        <f t="shared" ca="1" si="17"/>
        <v>46053</v>
      </c>
      <c r="Y60" s="452" t="str">
        <f t="shared" ca="1" si="14"/>
        <v>Sam. février , 2026</v>
      </c>
      <c r="Z60" s="143">
        <f t="shared" ca="1" si="4"/>
        <v>28</v>
      </c>
      <c r="AA60" s="348">
        <f t="shared" ca="1" si="5"/>
        <v>2</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Sam</v>
      </c>
      <c r="U61" s="186" t="str">
        <f t="shared" ca="1" si="13"/>
        <v>février</v>
      </c>
      <c r="X61" s="347">
        <f t="shared" ca="1" si="17"/>
        <v>46053</v>
      </c>
      <c r="Y61" s="452" t="str">
        <f t="shared" ca="1" si="14"/>
        <v>Sam. février , 2026</v>
      </c>
      <c r="Z61" s="143">
        <f t="shared" ca="1" si="4"/>
        <v>28</v>
      </c>
      <c r="AA61" s="348">
        <f t="shared" ca="1" si="5"/>
        <v>2</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Sam</v>
      </c>
      <c r="U62" s="186" t="str">
        <f t="shared" ca="1" si="13"/>
        <v>février</v>
      </c>
      <c r="X62" s="347">
        <f t="shared" ca="1" si="17"/>
        <v>46053</v>
      </c>
      <c r="Y62" s="452" t="str">
        <f t="shared" ca="1" si="14"/>
        <v>Sam. février , 2026</v>
      </c>
      <c r="Z62" s="143">
        <f t="shared" ca="1" si="4"/>
        <v>28</v>
      </c>
      <c r="AA62" s="348">
        <f t="shared" ca="1" si="5"/>
        <v>2</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Sam</v>
      </c>
      <c r="U63" s="186" t="str">
        <f t="shared" ca="1" si="13"/>
        <v>février</v>
      </c>
      <c r="X63" s="347">
        <f t="shared" ca="1" si="17"/>
        <v>46053</v>
      </c>
      <c r="Y63" s="452" t="str">
        <f t="shared" ca="1" si="14"/>
        <v>Sam. février , 2026</v>
      </c>
      <c r="Z63" s="143">
        <f t="shared" ca="1" si="4"/>
        <v>28</v>
      </c>
      <c r="AA63" s="348">
        <f t="shared" ca="1" si="5"/>
        <v>2</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Sam</v>
      </c>
      <c r="U64" s="186" t="str">
        <f t="shared" ca="1" si="13"/>
        <v>février</v>
      </c>
      <c r="X64" s="347">
        <f t="shared" ca="1" si="17"/>
        <v>46053</v>
      </c>
      <c r="Y64" s="452" t="str">
        <f t="shared" ca="1" si="14"/>
        <v>Sam. février , 2026</v>
      </c>
      <c r="Z64" s="143">
        <f t="shared" ca="1" si="4"/>
        <v>28</v>
      </c>
      <c r="AA64" s="348">
        <f t="shared" ca="1" si="5"/>
        <v>2</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Sam</v>
      </c>
      <c r="U65" s="186" t="str">
        <f t="shared" ca="1" si="13"/>
        <v>février</v>
      </c>
      <c r="X65" s="347">
        <f t="shared" ca="1" si="17"/>
        <v>46053</v>
      </c>
      <c r="Y65" s="452" t="str">
        <f t="shared" ca="1" si="14"/>
        <v>Sam. février , 2026</v>
      </c>
      <c r="Z65" s="143">
        <f t="shared" ca="1" si="4"/>
        <v>28</v>
      </c>
      <c r="AA65" s="348">
        <f t="shared" ca="1" si="5"/>
        <v>2</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Sam</v>
      </c>
      <c r="U66" s="186" t="str">
        <f t="shared" ca="1" si="13"/>
        <v>février</v>
      </c>
      <c r="X66" s="347">
        <f t="shared" ca="1" si="17"/>
        <v>46053</v>
      </c>
      <c r="Y66" s="452" t="str">
        <f t="shared" ca="1" si="14"/>
        <v>Sam. février , 2026</v>
      </c>
      <c r="Z66" s="143">
        <f t="shared" ca="1" si="4"/>
        <v>28</v>
      </c>
      <c r="AA66" s="348">
        <f t="shared" ca="1" si="5"/>
        <v>2</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Sam</v>
      </c>
      <c r="U67" s="186" t="str">
        <f t="shared" ca="1" si="13"/>
        <v>février</v>
      </c>
      <c r="X67" s="347">
        <f t="shared" ca="1" si="17"/>
        <v>46053</v>
      </c>
      <c r="Y67" s="452" t="str">
        <f t="shared" ca="1" si="14"/>
        <v>Sam. février , 2026</v>
      </c>
      <c r="Z67" s="143">
        <f t="shared" ca="1" si="4"/>
        <v>28</v>
      </c>
      <c r="AA67" s="348">
        <f t="shared" ca="1" si="5"/>
        <v>2</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Sam</v>
      </c>
      <c r="U68" s="186" t="str">
        <f t="shared" ca="1" si="13"/>
        <v>février</v>
      </c>
      <c r="X68" s="347">
        <f t="shared" ca="1" si="17"/>
        <v>46053</v>
      </c>
      <c r="Y68" s="452" t="str">
        <f t="shared" ca="1" si="14"/>
        <v>Sam. février , 2026</v>
      </c>
      <c r="Z68" s="143">
        <f t="shared" ca="1" si="4"/>
        <v>28</v>
      </c>
      <c r="AA68" s="348">
        <f t="shared" ca="1" si="5"/>
        <v>2</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Sam</v>
      </c>
      <c r="U69" s="186" t="str">
        <f t="shared" ca="1" si="13"/>
        <v>février</v>
      </c>
      <c r="X69" s="347">
        <f t="shared" ca="1" si="17"/>
        <v>46053</v>
      </c>
      <c r="Y69" s="452" t="str">
        <f t="shared" ca="1" si="14"/>
        <v>Sam. février , 2026</v>
      </c>
      <c r="Z69" s="143">
        <f t="shared" ca="1" si="4"/>
        <v>28</v>
      </c>
      <c r="AA69" s="348">
        <f t="shared" ca="1" si="5"/>
        <v>2</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Sam</v>
      </c>
      <c r="U70" s="186" t="str">
        <f t="shared" ca="1" si="13"/>
        <v>février</v>
      </c>
      <c r="X70" s="347">
        <f t="shared" ca="1" si="17"/>
        <v>46053</v>
      </c>
      <c r="Y70" s="452" t="str">
        <f t="shared" ca="1" si="14"/>
        <v>Sam. février , 2026</v>
      </c>
      <c r="Z70" s="143">
        <f t="shared" ca="1" si="4"/>
        <v>28</v>
      </c>
      <c r="AA70" s="348">
        <f t="shared" ca="1" si="5"/>
        <v>2</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Sam</v>
      </c>
      <c r="U71" s="186" t="str">
        <f t="shared" ca="1" si="13"/>
        <v>février</v>
      </c>
      <c r="X71" s="347">
        <f t="shared" ca="1" si="17"/>
        <v>46053</v>
      </c>
      <c r="Y71" s="452" t="str">
        <f t="shared" ca="1" si="14"/>
        <v>Sam. février , 2026</v>
      </c>
      <c r="Z71" s="143">
        <f t="shared" ca="1" si="4"/>
        <v>28</v>
      </c>
      <c r="AA71" s="348">
        <f t="shared" ca="1" si="5"/>
        <v>2</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Sam</v>
      </c>
      <c r="U72" s="186" t="str">
        <f t="shared" ca="1" si="13"/>
        <v>février</v>
      </c>
      <c r="X72" s="347">
        <f t="shared" ca="1" si="17"/>
        <v>46053</v>
      </c>
      <c r="Y72" s="452" t="str">
        <f t="shared" ca="1" si="14"/>
        <v>Sam. février , 2026</v>
      </c>
      <c r="Z72" s="143">
        <f t="shared" ca="1" si="4"/>
        <v>28</v>
      </c>
      <c r="AA72" s="348">
        <f t="shared" ca="1" si="5"/>
        <v>2</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Sam</v>
      </c>
      <c r="U73" s="186" t="str">
        <f t="shared" ca="1" si="13"/>
        <v>février</v>
      </c>
      <c r="X73" s="347">
        <f t="shared" ca="1" si="17"/>
        <v>46053</v>
      </c>
      <c r="Y73" s="452" t="str">
        <f t="shared" ca="1" si="14"/>
        <v>Sam. février , 2026</v>
      </c>
      <c r="Z73" s="143">
        <f t="shared" ca="1" si="4"/>
        <v>28</v>
      </c>
      <c r="AA73" s="348">
        <f t="shared" ca="1" si="5"/>
        <v>2</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Sam</v>
      </c>
      <c r="U74" s="186" t="str">
        <f t="shared" ca="1" si="13"/>
        <v>février</v>
      </c>
      <c r="X74" s="347">
        <f t="shared" ca="1" si="17"/>
        <v>46053</v>
      </c>
      <c r="Y74" s="452" t="str">
        <f t="shared" ca="1" si="14"/>
        <v>Sam. février , 2026</v>
      </c>
      <c r="Z74" s="143">
        <f t="shared" ca="1" si="4"/>
        <v>28</v>
      </c>
      <c r="AA74" s="348">
        <f t="shared" ca="1" si="5"/>
        <v>2</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Sam</v>
      </c>
      <c r="U75" s="186" t="str">
        <f t="shared" ca="1" si="13"/>
        <v>février</v>
      </c>
      <c r="X75" s="347">
        <f t="shared" ca="1" si="17"/>
        <v>46053</v>
      </c>
      <c r="Y75" s="452" t="str">
        <f t="shared" ca="1" si="14"/>
        <v>Sam. février , 2026</v>
      </c>
      <c r="Z75" s="143">
        <f t="shared" ca="1" si="4"/>
        <v>28</v>
      </c>
      <c r="AA75" s="348">
        <f t="shared" ca="1" si="5"/>
        <v>2</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Sam</v>
      </c>
      <c r="U76" s="186" t="str">
        <f t="shared" ca="1" si="13"/>
        <v>février</v>
      </c>
      <c r="X76" s="347">
        <f t="shared" ca="1" si="17"/>
        <v>46053</v>
      </c>
      <c r="Y76" s="452" t="str">
        <f t="shared" ca="1" si="14"/>
        <v>Sam. février , 2026</v>
      </c>
      <c r="Z76" s="143">
        <f t="shared" ca="1" si="4"/>
        <v>28</v>
      </c>
      <c r="AA76" s="348">
        <f t="shared" ca="1" si="5"/>
        <v>2</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Sam</v>
      </c>
      <c r="U77" s="186" t="str">
        <f t="shared" ca="1" si="13"/>
        <v>février</v>
      </c>
      <c r="X77" s="347">
        <f t="shared" ca="1" si="17"/>
        <v>46053</v>
      </c>
      <c r="Y77" s="452" t="str">
        <f t="shared" ca="1" si="14"/>
        <v>Sam. février , 2026</v>
      </c>
      <c r="Z77" s="143">
        <f t="shared" ca="1" si="4"/>
        <v>28</v>
      </c>
      <c r="AA77" s="348">
        <f t="shared" ca="1" si="5"/>
        <v>2</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Sam</v>
      </c>
      <c r="U78" s="186" t="str">
        <f t="shared" ca="1" si="13"/>
        <v>février</v>
      </c>
      <c r="X78" s="347">
        <f t="shared" ca="1" si="17"/>
        <v>46053</v>
      </c>
      <c r="Y78" s="452" t="str">
        <f t="shared" ca="1" si="14"/>
        <v>Sam. février , 2026</v>
      </c>
      <c r="Z78" s="143">
        <f t="shared" ca="1" si="4"/>
        <v>28</v>
      </c>
      <c r="AA78" s="348">
        <f t="shared" ca="1" si="5"/>
        <v>2</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Sam</v>
      </c>
      <c r="U79" s="186" t="str">
        <f t="shared" ca="1" si="13"/>
        <v>février</v>
      </c>
      <c r="X79" s="347">
        <f t="shared" ca="1" si="17"/>
        <v>46053</v>
      </c>
      <c r="Y79" s="452" t="str">
        <f t="shared" ca="1" si="14"/>
        <v>Sam. février , 2026</v>
      </c>
      <c r="Z79" s="143">
        <f t="shared" ca="1" si="4"/>
        <v>28</v>
      </c>
      <c r="AA79" s="348">
        <f t="shared" ca="1" si="5"/>
        <v>2</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Sam</v>
      </c>
      <c r="U80" s="186" t="str">
        <f t="shared" ca="1" si="13"/>
        <v>février</v>
      </c>
      <c r="X80" s="347">
        <f t="shared" ca="1" si="17"/>
        <v>46053</v>
      </c>
      <c r="Y80" s="452" t="str">
        <f t="shared" ca="1" si="14"/>
        <v>Sam. février , 2026</v>
      </c>
      <c r="Z80" s="143">
        <f t="shared" ca="1" si="4"/>
        <v>28</v>
      </c>
      <c r="AA80" s="348">
        <f t="shared" ca="1" si="5"/>
        <v>2</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Sam</v>
      </c>
      <c r="U81" s="186" t="str">
        <f t="shared" ca="1" si="13"/>
        <v>février</v>
      </c>
      <c r="X81" s="347">
        <f t="shared" ca="1" si="17"/>
        <v>46053</v>
      </c>
      <c r="Y81" s="452" t="str">
        <f t="shared" ca="1" si="14"/>
        <v>Sam. février , 2026</v>
      </c>
      <c r="Z81" s="143">
        <f t="shared" ca="1" si="4"/>
        <v>28</v>
      </c>
      <c r="AA81" s="348">
        <f t="shared" ca="1" si="5"/>
        <v>2</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Sam</v>
      </c>
      <c r="U82" s="186" t="str">
        <f t="shared" ca="1" si="13"/>
        <v>février</v>
      </c>
      <c r="X82" s="347">
        <f t="shared" ca="1" si="17"/>
        <v>46053</v>
      </c>
      <c r="Y82" s="452" t="str">
        <f t="shared" ca="1" si="14"/>
        <v>Sam. février , 2026</v>
      </c>
      <c r="Z82" s="143">
        <f t="shared" ca="1" si="4"/>
        <v>28</v>
      </c>
      <c r="AA82" s="348">
        <f t="shared" ca="1" si="5"/>
        <v>2</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Sam</v>
      </c>
      <c r="U83" s="186" t="str">
        <f t="shared" ca="1" si="13"/>
        <v>février</v>
      </c>
      <c r="X83" s="347">
        <f t="shared" ca="1" si="17"/>
        <v>46053</v>
      </c>
      <c r="Y83" s="452" t="str">
        <f t="shared" ca="1" si="14"/>
        <v>Sam. février , 2026</v>
      </c>
      <c r="Z83" s="143">
        <f t="shared" ca="1" si="4"/>
        <v>28</v>
      </c>
      <c r="AA83" s="348">
        <f t="shared" ca="1" si="5"/>
        <v>2</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Sam</v>
      </c>
      <c r="U84" s="186" t="str">
        <f t="shared" ca="1" si="13"/>
        <v>février</v>
      </c>
      <c r="X84" s="347">
        <f t="shared" ca="1" si="17"/>
        <v>46053</v>
      </c>
      <c r="Y84" s="452" t="str">
        <f t="shared" ca="1" si="14"/>
        <v>Sam. février , 2026</v>
      </c>
      <c r="Z84" s="143">
        <f t="shared" ref="Z84:Z147" ca="1" si="24">MIN(R84,$AF$5)</f>
        <v>28</v>
      </c>
      <c r="AA84" s="348">
        <f t="shared" ref="AA84:AA147" ca="1" si="25">$AD$6</f>
        <v>2</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Sam</v>
      </c>
      <c r="U85" s="186" t="str">
        <f t="shared" ref="U85:U148" ca="1" si="32">$U$19</f>
        <v>février</v>
      </c>
      <c r="X85" s="347">
        <f t="shared" ca="1" si="17"/>
        <v>46053</v>
      </c>
      <c r="Y85" s="452" t="str">
        <f t="shared" ref="Y85:Y148" ca="1" si="33">IF(Y79="f",T85&amp;". "&amp;" "&amp;R85&amp;" "&amp;U85&amp;" "&amp;$AE$7,T85&amp;". "&amp;U85&amp;" "&amp;R85&amp;", "&amp;$AE$7)</f>
        <v>Sam. février , 2026</v>
      </c>
      <c r="Z85" s="143">
        <f t="shared" ca="1" si="24"/>
        <v>28</v>
      </c>
      <c r="AA85" s="348">
        <f t="shared" ca="1" si="25"/>
        <v>2</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Sam</v>
      </c>
      <c r="U86" s="186" t="str">
        <f t="shared" ca="1" si="32"/>
        <v>février</v>
      </c>
      <c r="X86" s="347">
        <f t="shared" ref="X86:X149" ca="1" si="36">$AE$8+D86</f>
        <v>46053</v>
      </c>
      <c r="Y86" s="452" t="str">
        <f t="shared" ca="1" si="33"/>
        <v>Sam. février , 2026</v>
      </c>
      <c r="Z86" s="143">
        <f t="shared" ca="1" si="24"/>
        <v>28</v>
      </c>
      <c r="AA86" s="348">
        <f t="shared" ca="1" si="25"/>
        <v>2</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Sam</v>
      </c>
      <c r="U87" s="186" t="str">
        <f t="shared" ca="1" si="32"/>
        <v>février</v>
      </c>
      <c r="X87" s="347">
        <f t="shared" ca="1" si="36"/>
        <v>46053</v>
      </c>
      <c r="Y87" s="452" t="str">
        <f t="shared" ca="1" si="33"/>
        <v>Sam. février , 2026</v>
      </c>
      <c r="Z87" s="143">
        <f t="shared" ca="1" si="24"/>
        <v>28</v>
      </c>
      <c r="AA87" s="348">
        <f t="shared" ca="1" si="25"/>
        <v>2</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Sam</v>
      </c>
      <c r="U88" s="186" t="str">
        <f t="shared" ca="1" si="32"/>
        <v>février</v>
      </c>
      <c r="X88" s="347">
        <f t="shared" ca="1" si="36"/>
        <v>46053</v>
      </c>
      <c r="Y88" s="452" t="str">
        <f t="shared" ca="1" si="33"/>
        <v>Sam. février , 2026</v>
      </c>
      <c r="Z88" s="143">
        <f t="shared" ca="1" si="24"/>
        <v>28</v>
      </c>
      <c r="AA88" s="348">
        <f t="shared" ca="1" si="25"/>
        <v>2</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Sam</v>
      </c>
      <c r="U89" s="186" t="str">
        <f t="shared" ca="1" si="32"/>
        <v>février</v>
      </c>
      <c r="X89" s="347">
        <f t="shared" ca="1" si="36"/>
        <v>46053</v>
      </c>
      <c r="Y89" s="452" t="str">
        <f t="shared" ca="1" si="33"/>
        <v>Sam. février , 2026</v>
      </c>
      <c r="Z89" s="143">
        <f t="shared" ca="1" si="24"/>
        <v>28</v>
      </c>
      <c r="AA89" s="348">
        <f t="shared" ca="1" si="25"/>
        <v>2</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Sam</v>
      </c>
      <c r="U90" s="186" t="str">
        <f t="shared" ca="1" si="32"/>
        <v>février</v>
      </c>
      <c r="X90" s="347">
        <f t="shared" ca="1" si="36"/>
        <v>46053</v>
      </c>
      <c r="Y90" s="452" t="str">
        <f t="shared" ca="1" si="33"/>
        <v>Sam. février , 2026</v>
      </c>
      <c r="Z90" s="143">
        <f t="shared" ca="1" si="24"/>
        <v>28</v>
      </c>
      <c r="AA90" s="348">
        <f t="shared" ca="1" si="25"/>
        <v>2</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Sam</v>
      </c>
      <c r="U91" s="186" t="str">
        <f t="shared" ca="1" si="32"/>
        <v>février</v>
      </c>
      <c r="X91" s="347">
        <f t="shared" ca="1" si="36"/>
        <v>46053</v>
      </c>
      <c r="Y91" s="452" t="str">
        <f t="shared" ca="1" si="33"/>
        <v>Sam. février , 2026</v>
      </c>
      <c r="Z91" s="143">
        <f t="shared" ca="1" si="24"/>
        <v>28</v>
      </c>
      <c r="AA91" s="348">
        <f t="shared" ca="1" si="25"/>
        <v>2</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Sam</v>
      </c>
      <c r="U92" s="186" t="str">
        <f t="shared" ca="1" si="32"/>
        <v>février</v>
      </c>
      <c r="X92" s="347">
        <f t="shared" ca="1" si="36"/>
        <v>46053</v>
      </c>
      <c r="Y92" s="452" t="str">
        <f t="shared" ca="1" si="33"/>
        <v>Sam. février , 2026</v>
      </c>
      <c r="Z92" s="143">
        <f t="shared" ca="1" si="24"/>
        <v>28</v>
      </c>
      <c r="AA92" s="348">
        <f t="shared" ca="1" si="25"/>
        <v>2</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Sam</v>
      </c>
      <c r="U93" s="186" t="str">
        <f t="shared" ca="1" si="32"/>
        <v>février</v>
      </c>
      <c r="X93" s="347">
        <f t="shared" ca="1" si="36"/>
        <v>46053</v>
      </c>
      <c r="Y93" s="452" t="str">
        <f t="shared" ca="1" si="33"/>
        <v>Sam. février , 2026</v>
      </c>
      <c r="Z93" s="143">
        <f t="shared" ca="1" si="24"/>
        <v>28</v>
      </c>
      <c r="AA93" s="348">
        <f t="shared" ca="1" si="25"/>
        <v>2</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Sam</v>
      </c>
      <c r="U94" s="186" t="str">
        <f t="shared" ca="1" si="32"/>
        <v>février</v>
      </c>
      <c r="X94" s="347">
        <f t="shared" ca="1" si="36"/>
        <v>46053</v>
      </c>
      <c r="Y94" s="452" t="str">
        <f t="shared" ca="1" si="33"/>
        <v>Sam. février , 2026</v>
      </c>
      <c r="Z94" s="143">
        <f t="shared" ca="1" si="24"/>
        <v>28</v>
      </c>
      <c r="AA94" s="348">
        <f t="shared" ca="1" si="25"/>
        <v>2</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Sam</v>
      </c>
      <c r="U95" s="186" t="str">
        <f t="shared" ca="1" si="32"/>
        <v>février</v>
      </c>
      <c r="X95" s="347">
        <f t="shared" ca="1" si="36"/>
        <v>46053</v>
      </c>
      <c r="Y95" s="452" t="str">
        <f t="shared" ca="1" si="33"/>
        <v>Sam. février , 2026</v>
      </c>
      <c r="Z95" s="143">
        <f t="shared" ca="1" si="24"/>
        <v>28</v>
      </c>
      <c r="AA95" s="348">
        <f t="shared" ca="1" si="25"/>
        <v>2</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Sam</v>
      </c>
      <c r="U96" s="186" t="str">
        <f t="shared" ca="1" si="32"/>
        <v>février</v>
      </c>
      <c r="X96" s="347">
        <f t="shared" ca="1" si="36"/>
        <v>46053</v>
      </c>
      <c r="Y96" s="452" t="str">
        <f t="shared" ca="1" si="33"/>
        <v>Sam. février , 2026</v>
      </c>
      <c r="Z96" s="143">
        <f t="shared" ca="1" si="24"/>
        <v>28</v>
      </c>
      <c r="AA96" s="348">
        <f t="shared" ca="1" si="25"/>
        <v>2</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Sam</v>
      </c>
      <c r="U97" s="186" t="str">
        <f t="shared" ca="1" si="32"/>
        <v>février</v>
      </c>
      <c r="X97" s="347">
        <f t="shared" ca="1" si="36"/>
        <v>46053</v>
      </c>
      <c r="Y97" s="452" t="str">
        <f t="shared" ca="1" si="33"/>
        <v>Sam. février , 2026</v>
      </c>
      <c r="Z97" s="143">
        <f t="shared" ca="1" si="24"/>
        <v>28</v>
      </c>
      <c r="AA97" s="348">
        <f t="shared" ca="1" si="25"/>
        <v>2</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Sam</v>
      </c>
      <c r="U98" s="186" t="str">
        <f t="shared" ca="1" si="32"/>
        <v>février</v>
      </c>
      <c r="X98" s="347">
        <f t="shared" ca="1" si="36"/>
        <v>46053</v>
      </c>
      <c r="Y98" s="452" t="str">
        <f t="shared" ca="1" si="33"/>
        <v>Sam. février , 2026</v>
      </c>
      <c r="Z98" s="143">
        <f t="shared" ca="1" si="24"/>
        <v>28</v>
      </c>
      <c r="AA98" s="348">
        <f t="shared" ca="1" si="25"/>
        <v>2</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Sam</v>
      </c>
      <c r="U99" s="186" t="str">
        <f t="shared" ca="1" si="32"/>
        <v>février</v>
      </c>
      <c r="X99" s="347">
        <f t="shared" ca="1" si="36"/>
        <v>46053</v>
      </c>
      <c r="Y99" s="452" t="str">
        <f t="shared" ca="1" si="33"/>
        <v>Sam. février , 2026</v>
      </c>
      <c r="Z99" s="143">
        <f t="shared" ca="1" si="24"/>
        <v>28</v>
      </c>
      <c r="AA99" s="348">
        <f t="shared" ca="1" si="25"/>
        <v>2</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Sam</v>
      </c>
      <c r="U100" s="186" t="str">
        <f t="shared" ca="1" si="32"/>
        <v>février</v>
      </c>
      <c r="X100" s="347">
        <f t="shared" ca="1" si="36"/>
        <v>46053</v>
      </c>
      <c r="Y100" s="452" t="str">
        <f t="shared" ca="1" si="33"/>
        <v>Sam. février , 2026</v>
      </c>
      <c r="Z100" s="143">
        <f t="shared" ca="1" si="24"/>
        <v>28</v>
      </c>
      <c r="AA100" s="348">
        <f t="shared" ca="1" si="25"/>
        <v>2</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Sam</v>
      </c>
      <c r="U101" s="186" t="str">
        <f t="shared" ca="1" si="32"/>
        <v>février</v>
      </c>
      <c r="X101" s="347">
        <f t="shared" ca="1" si="36"/>
        <v>46053</v>
      </c>
      <c r="Y101" s="452" t="str">
        <f t="shared" ca="1" si="33"/>
        <v>Sam. février , 2026</v>
      </c>
      <c r="Z101" s="143">
        <f t="shared" ca="1" si="24"/>
        <v>28</v>
      </c>
      <c r="AA101" s="348">
        <f t="shared" ca="1" si="25"/>
        <v>2</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Sam</v>
      </c>
      <c r="U102" s="186" t="str">
        <f t="shared" ca="1" si="32"/>
        <v>février</v>
      </c>
      <c r="X102" s="347">
        <f t="shared" ca="1" si="36"/>
        <v>46053</v>
      </c>
      <c r="Y102" s="452" t="str">
        <f t="shared" ca="1" si="33"/>
        <v>Sam. février , 2026</v>
      </c>
      <c r="Z102" s="143">
        <f t="shared" ca="1" si="24"/>
        <v>28</v>
      </c>
      <c r="AA102" s="348">
        <f t="shared" ca="1" si="25"/>
        <v>2</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Sam</v>
      </c>
      <c r="U103" s="186" t="str">
        <f t="shared" ca="1" si="32"/>
        <v>février</v>
      </c>
      <c r="X103" s="347">
        <f t="shared" ca="1" si="36"/>
        <v>46053</v>
      </c>
      <c r="Y103" s="452" t="str">
        <f t="shared" ca="1" si="33"/>
        <v>Sam. février , 2026</v>
      </c>
      <c r="Z103" s="143">
        <f t="shared" ca="1" si="24"/>
        <v>28</v>
      </c>
      <c r="AA103" s="348">
        <f t="shared" ca="1" si="25"/>
        <v>2</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Sam</v>
      </c>
      <c r="U104" s="186" t="str">
        <f t="shared" ca="1" si="32"/>
        <v>février</v>
      </c>
      <c r="X104" s="347">
        <f t="shared" ca="1" si="36"/>
        <v>46053</v>
      </c>
      <c r="Y104" s="452" t="str">
        <f t="shared" ca="1" si="33"/>
        <v>Sam. février , 2026</v>
      </c>
      <c r="Z104" s="143">
        <f t="shared" ca="1" si="24"/>
        <v>28</v>
      </c>
      <c r="AA104" s="348">
        <f t="shared" ca="1" si="25"/>
        <v>2</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Sam</v>
      </c>
      <c r="U105" s="186" t="str">
        <f t="shared" ca="1" si="32"/>
        <v>février</v>
      </c>
      <c r="X105" s="347">
        <f t="shared" ca="1" si="36"/>
        <v>46053</v>
      </c>
      <c r="Y105" s="452" t="str">
        <f t="shared" ca="1" si="33"/>
        <v>Sam. février , 2026</v>
      </c>
      <c r="Z105" s="143">
        <f t="shared" ca="1" si="24"/>
        <v>28</v>
      </c>
      <c r="AA105" s="348">
        <f t="shared" ca="1" si="25"/>
        <v>2</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Sam</v>
      </c>
      <c r="U106" s="186" t="str">
        <f t="shared" ca="1" si="32"/>
        <v>février</v>
      </c>
      <c r="X106" s="347">
        <f t="shared" ca="1" si="36"/>
        <v>46053</v>
      </c>
      <c r="Y106" s="452" t="str">
        <f t="shared" ca="1" si="33"/>
        <v>Sam. février , 2026</v>
      </c>
      <c r="Z106" s="143">
        <f t="shared" ca="1" si="24"/>
        <v>28</v>
      </c>
      <c r="AA106" s="348">
        <f t="shared" ca="1" si="25"/>
        <v>2</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Sam</v>
      </c>
      <c r="U107" s="186" t="str">
        <f t="shared" ca="1" si="32"/>
        <v>février</v>
      </c>
      <c r="X107" s="347">
        <f t="shared" ca="1" si="36"/>
        <v>46053</v>
      </c>
      <c r="Y107" s="452" t="str">
        <f t="shared" ca="1" si="33"/>
        <v>Sam. février , 2026</v>
      </c>
      <c r="Z107" s="143">
        <f t="shared" ca="1" si="24"/>
        <v>28</v>
      </c>
      <c r="AA107" s="348">
        <f t="shared" ca="1" si="25"/>
        <v>2</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Sam</v>
      </c>
      <c r="U108" s="186" t="str">
        <f t="shared" ca="1" si="32"/>
        <v>février</v>
      </c>
      <c r="X108" s="347">
        <f t="shared" ca="1" si="36"/>
        <v>46053</v>
      </c>
      <c r="Y108" s="452" t="str">
        <f t="shared" ca="1" si="33"/>
        <v>Sam. février , 2026</v>
      </c>
      <c r="Z108" s="143">
        <f t="shared" ca="1" si="24"/>
        <v>28</v>
      </c>
      <c r="AA108" s="348">
        <f t="shared" ca="1" si="25"/>
        <v>2</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Sam</v>
      </c>
      <c r="U109" s="186" t="str">
        <f t="shared" ca="1" si="32"/>
        <v>février</v>
      </c>
      <c r="X109" s="347">
        <f t="shared" ca="1" si="36"/>
        <v>46053</v>
      </c>
      <c r="Y109" s="452" t="str">
        <f t="shared" ca="1" si="33"/>
        <v>Sam. février , 2026</v>
      </c>
      <c r="Z109" s="143">
        <f t="shared" ca="1" si="24"/>
        <v>28</v>
      </c>
      <c r="AA109" s="348">
        <f t="shared" ca="1" si="25"/>
        <v>2</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Sam</v>
      </c>
      <c r="U110" s="186" t="str">
        <f t="shared" ca="1" si="32"/>
        <v>février</v>
      </c>
      <c r="X110" s="347">
        <f t="shared" ca="1" si="36"/>
        <v>46053</v>
      </c>
      <c r="Y110" s="452" t="str">
        <f t="shared" ca="1" si="33"/>
        <v>Sam. février , 2026</v>
      </c>
      <c r="Z110" s="143">
        <f t="shared" ca="1" si="24"/>
        <v>28</v>
      </c>
      <c r="AA110" s="348">
        <f t="shared" ca="1" si="25"/>
        <v>2</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Sam</v>
      </c>
      <c r="U111" s="186" t="str">
        <f t="shared" ca="1" si="32"/>
        <v>février</v>
      </c>
      <c r="X111" s="347">
        <f t="shared" ca="1" si="36"/>
        <v>46053</v>
      </c>
      <c r="Y111" s="452" t="str">
        <f t="shared" ca="1" si="33"/>
        <v>Sam. février , 2026</v>
      </c>
      <c r="Z111" s="143">
        <f t="shared" ca="1" si="24"/>
        <v>28</v>
      </c>
      <c r="AA111" s="348">
        <f t="shared" ca="1" si="25"/>
        <v>2</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Sam</v>
      </c>
      <c r="U112" s="186" t="str">
        <f t="shared" ca="1" si="32"/>
        <v>février</v>
      </c>
      <c r="X112" s="347">
        <f t="shared" ca="1" si="36"/>
        <v>46053</v>
      </c>
      <c r="Y112" s="452" t="str">
        <f t="shared" ca="1" si="33"/>
        <v>Sam. février , 2026</v>
      </c>
      <c r="Z112" s="143">
        <f t="shared" ca="1" si="24"/>
        <v>28</v>
      </c>
      <c r="AA112" s="348">
        <f t="shared" ca="1" si="25"/>
        <v>2</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Sam</v>
      </c>
      <c r="U113" s="186" t="str">
        <f t="shared" ca="1" si="32"/>
        <v>février</v>
      </c>
      <c r="X113" s="347">
        <f t="shared" ca="1" si="36"/>
        <v>46053</v>
      </c>
      <c r="Y113" s="452" t="str">
        <f t="shared" ca="1" si="33"/>
        <v>Sam. février , 2026</v>
      </c>
      <c r="Z113" s="143">
        <f t="shared" ca="1" si="24"/>
        <v>28</v>
      </c>
      <c r="AA113" s="348">
        <f t="shared" ca="1" si="25"/>
        <v>2</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Sam</v>
      </c>
      <c r="U114" s="186" t="str">
        <f t="shared" ca="1" si="32"/>
        <v>février</v>
      </c>
      <c r="X114" s="347">
        <f t="shared" ca="1" si="36"/>
        <v>46053</v>
      </c>
      <c r="Y114" s="452" t="str">
        <f t="shared" ca="1" si="33"/>
        <v>Sam. février , 2026</v>
      </c>
      <c r="Z114" s="143">
        <f t="shared" ca="1" si="24"/>
        <v>28</v>
      </c>
      <c r="AA114" s="348">
        <f t="shared" ca="1" si="25"/>
        <v>2</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Sam</v>
      </c>
      <c r="U115" s="186" t="str">
        <f t="shared" ca="1" si="32"/>
        <v>février</v>
      </c>
      <c r="X115" s="347">
        <f t="shared" ca="1" si="36"/>
        <v>46053</v>
      </c>
      <c r="Y115" s="452" t="str">
        <f t="shared" ca="1" si="33"/>
        <v>Sam. février , 2026</v>
      </c>
      <c r="Z115" s="143">
        <f t="shared" ca="1" si="24"/>
        <v>28</v>
      </c>
      <c r="AA115" s="348">
        <f t="shared" ca="1" si="25"/>
        <v>2</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Sam</v>
      </c>
      <c r="U116" s="186" t="str">
        <f t="shared" ca="1" si="32"/>
        <v>février</v>
      </c>
      <c r="X116" s="347">
        <f t="shared" ca="1" si="36"/>
        <v>46053</v>
      </c>
      <c r="Y116" s="452" t="str">
        <f t="shared" ca="1" si="33"/>
        <v>Sam. février , 2026</v>
      </c>
      <c r="Z116" s="143">
        <f t="shared" ca="1" si="24"/>
        <v>28</v>
      </c>
      <c r="AA116" s="348">
        <f t="shared" ca="1" si="25"/>
        <v>2</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Sam</v>
      </c>
      <c r="U117" s="186" t="str">
        <f t="shared" ca="1" si="32"/>
        <v>février</v>
      </c>
      <c r="X117" s="347">
        <f t="shared" ca="1" si="36"/>
        <v>46053</v>
      </c>
      <c r="Y117" s="452" t="str">
        <f t="shared" ca="1" si="33"/>
        <v>Sam. février , 2026</v>
      </c>
      <c r="Z117" s="143">
        <f t="shared" ca="1" si="24"/>
        <v>28</v>
      </c>
      <c r="AA117" s="348">
        <f t="shared" ca="1" si="25"/>
        <v>2</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Sam</v>
      </c>
      <c r="U118" s="186" t="str">
        <f t="shared" ca="1" si="32"/>
        <v>février</v>
      </c>
      <c r="X118" s="347">
        <f t="shared" ca="1" si="36"/>
        <v>46053</v>
      </c>
      <c r="Y118" s="452" t="str">
        <f t="shared" ca="1" si="33"/>
        <v>Sam. février , 2026</v>
      </c>
      <c r="Z118" s="143">
        <f t="shared" ca="1" si="24"/>
        <v>28</v>
      </c>
      <c r="AA118" s="348">
        <f t="shared" ca="1" si="25"/>
        <v>2</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Sam</v>
      </c>
      <c r="U119" s="186" t="str">
        <f t="shared" ca="1" si="32"/>
        <v>février</v>
      </c>
      <c r="X119" s="347">
        <f t="shared" ca="1" si="36"/>
        <v>46053</v>
      </c>
      <c r="Y119" s="452" t="str">
        <f t="shared" ca="1" si="33"/>
        <v>Sam. février , 2026</v>
      </c>
      <c r="Z119" s="143">
        <f t="shared" ca="1" si="24"/>
        <v>28</v>
      </c>
      <c r="AA119" s="348">
        <f t="shared" ca="1" si="25"/>
        <v>2</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Sam</v>
      </c>
      <c r="U120" s="186" t="str">
        <f t="shared" ca="1" si="32"/>
        <v>février</v>
      </c>
      <c r="X120" s="347">
        <f t="shared" ca="1" si="36"/>
        <v>46053</v>
      </c>
      <c r="Y120" s="452" t="str">
        <f t="shared" ca="1" si="33"/>
        <v>Sam. février , 2026</v>
      </c>
      <c r="Z120" s="143">
        <f t="shared" ca="1" si="24"/>
        <v>28</v>
      </c>
      <c r="AA120" s="348">
        <f t="shared" ca="1" si="25"/>
        <v>2</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Sam</v>
      </c>
      <c r="U121" s="186" t="str">
        <f t="shared" ca="1" si="32"/>
        <v>février</v>
      </c>
      <c r="X121" s="347">
        <f t="shared" ca="1" si="36"/>
        <v>46053</v>
      </c>
      <c r="Y121" s="452" t="str">
        <f t="shared" ca="1" si="33"/>
        <v>Sam. février , 2026</v>
      </c>
      <c r="Z121" s="143">
        <f t="shared" ca="1" si="24"/>
        <v>28</v>
      </c>
      <c r="AA121" s="348">
        <f t="shared" ca="1" si="25"/>
        <v>2</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Sam</v>
      </c>
      <c r="U122" s="186" t="str">
        <f t="shared" ca="1" si="32"/>
        <v>février</v>
      </c>
      <c r="X122" s="347">
        <f t="shared" ca="1" si="36"/>
        <v>46053</v>
      </c>
      <c r="Y122" s="452" t="str">
        <f t="shared" ca="1" si="33"/>
        <v>Sam. février , 2026</v>
      </c>
      <c r="Z122" s="143">
        <f t="shared" ca="1" si="24"/>
        <v>28</v>
      </c>
      <c r="AA122" s="348">
        <f t="shared" ca="1" si="25"/>
        <v>2</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Sam</v>
      </c>
      <c r="U123" s="186" t="str">
        <f t="shared" ca="1" si="32"/>
        <v>février</v>
      </c>
      <c r="X123" s="347">
        <f t="shared" ca="1" si="36"/>
        <v>46053</v>
      </c>
      <c r="Y123" s="452" t="str">
        <f t="shared" ca="1" si="33"/>
        <v>Sam. février , 2026</v>
      </c>
      <c r="Z123" s="143">
        <f t="shared" ca="1" si="24"/>
        <v>28</v>
      </c>
      <c r="AA123" s="348">
        <f t="shared" ca="1" si="25"/>
        <v>2</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Sam</v>
      </c>
      <c r="U124" s="186" t="str">
        <f t="shared" ca="1" si="32"/>
        <v>février</v>
      </c>
      <c r="X124" s="347">
        <f t="shared" ca="1" si="36"/>
        <v>46053</v>
      </c>
      <c r="Y124" s="452" t="str">
        <f t="shared" ca="1" si="33"/>
        <v>Sam. février , 2026</v>
      </c>
      <c r="Z124" s="143">
        <f t="shared" ca="1" si="24"/>
        <v>28</v>
      </c>
      <c r="AA124" s="348">
        <f t="shared" ca="1" si="25"/>
        <v>2</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Sam</v>
      </c>
      <c r="U125" s="186" t="str">
        <f t="shared" ca="1" si="32"/>
        <v>février</v>
      </c>
      <c r="X125" s="347">
        <f t="shared" ca="1" si="36"/>
        <v>46053</v>
      </c>
      <c r="Y125" s="452" t="str">
        <f t="shared" ca="1" si="33"/>
        <v>Sam. février , 2026</v>
      </c>
      <c r="Z125" s="143">
        <f t="shared" ca="1" si="24"/>
        <v>28</v>
      </c>
      <c r="AA125" s="348">
        <f t="shared" ca="1" si="25"/>
        <v>2</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Sam</v>
      </c>
      <c r="U126" s="186" t="str">
        <f t="shared" ca="1" si="32"/>
        <v>février</v>
      </c>
      <c r="X126" s="347">
        <f t="shared" ca="1" si="36"/>
        <v>46053</v>
      </c>
      <c r="Y126" s="452" t="str">
        <f t="shared" ca="1" si="33"/>
        <v>Sam. février , 2026</v>
      </c>
      <c r="Z126" s="143">
        <f t="shared" ca="1" si="24"/>
        <v>28</v>
      </c>
      <c r="AA126" s="348">
        <f t="shared" ca="1" si="25"/>
        <v>2</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Sam</v>
      </c>
      <c r="U127" s="186" t="str">
        <f t="shared" ca="1" si="32"/>
        <v>février</v>
      </c>
      <c r="X127" s="347">
        <f t="shared" ca="1" si="36"/>
        <v>46053</v>
      </c>
      <c r="Y127" s="452" t="str">
        <f t="shared" ca="1" si="33"/>
        <v>Sam. février , 2026</v>
      </c>
      <c r="Z127" s="143">
        <f t="shared" ca="1" si="24"/>
        <v>28</v>
      </c>
      <c r="AA127" s="348">
        <f t="shared" ca="1" si="25"/>
        <v>2</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Sam</v>
      </c>
      <c r="U128" s="186" t="str">
        <f t="shared" ca="1" si="32"/>
        <v>février</v>
      </c>
      <c r="X128" s="347">
        <f t="shared" ca="1" si="36"/>
        <v>46053</v>
      </c>
      <c r="Y128" s="452" t="str">
        <f t="shared" ca="1" si="33"/>
        <v>Sam. février , 2026</v>
      </c>
      <c r="Z128" s="143">
        <f t="shared" ca="1" si="24"/>
        <v>28</v>
      </c>
      <c r="AA128" s="348">
        <f t="shared" ca="1" si="25"/>
        <v>2</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Sam</v>
      </c>
      <c r="U129" s="186" t="str">
        <f t="shared" ca="1" si="32"/>
        <v>février</v>
      </c>
      <c r="X129" s="347">
        <f t="shared" ca="1" si="36"/>
        <v>46053</v>
      </c>
      <c r="Y129" s="452" t="str">
        <f t="shared" ca="1" si="33"/>
        <v>Sam. février , 2026</v>
      </c>
      <c r="Z129" s="143">
        <f t="shared" ca="1" si="24"/>
        <v>28</v>
      </c>
      <c r="AA129" s="348">
        <f t="shared" ca="1" si="25"/>
        <v>2</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Sam</v>
      </c>
      <c r="U130" s="186" t="str">
        <f t="shared" ca="1" si="32"/>
        <v>février</v>
      </c>
      <c r="X130" s="347">
        <f t="shared" ca="1" si="36"/>
        <v>46053</v>
      </c>
      <c r="Y130" s="452" t="str">
        <f t="shared" ca="1" si="33"/>
        <v>Sam. février , 2026</v>
      </c>
      <c r="Z130" s="143">
        <f t="shared" ca="1" si="24"/>
        <v>28</v>
      </c>
      <c r="AA130" s="348">
        <f t="shared" ca="1" si="25"/>
        <v>2</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Sam</v>
      </c>
      <c r="U131" s="186" t="str">
        <f t="shared" ca="1" si="32"/>
        <v>février</v>
      </c>
      <c r="X131" s="347">
        <f t="shared" ca="1" si="36"/>
        <v>46053</v>
      </c>
      <c r="Y131" s="452" t="str">
        <f t="shared" ca="1" si="33"/>
        <v>Sam. février , 2026</v>
      </c>
      <c r="Z131" s="143">
        <f t="shared" ca="1" si="24"/>
        <v>28</v>
      </c>
      <c r="AA131" s="348">
        <f t="shared" ca="1" si="25"/>
        <v>2</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Sam</v>
      </c>
      <c r="U132" s="186" t="str">
        <f t="shared" ca="1" si="32"/>
        <v>février</v>
      </c>
      <c r="X132" s="347">
        <f t="shared" ca="1" si="36"/>
        <v>46053</v>
      </c>
      <c r="Y132" s="452" t="str">
        <f t="shared" ca="1" si="33"/>
        <v>Sam. février , 2026</v>
      </c>
      <c r="Z132" s="143">
        <f t="shared" ca="1" si="24"/>
        <v>28</v>
      </c>
      <c r="AA132" s="348">
        <f t="shared" ca="1" si="25"/>
        <v>2</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Sam</v>
      </c>
      <c r="U133" s="186" t="str">
        <f t="shared" ca="1" si="32"/>
        <v>février</v>
      </c>
      <c r="X133" s="347">
        <f t="shared" ca="1" si="36"/>
        <v>46053</v>
      </c>
      <c r="Y133" s="452" t="str">
        <f t="shared" ca="1" si="33"/>
        <v>Sam. février , 2026</v>
      </c>
      <c r="Z133" s="143">
        <f t="shared" ca="1" si="24"/>
        <v>28</v>
      </c>
      <c r="AA133" s="348">
        <f t="shared" ca="1" si="25"/>
        <v>2</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Sam</v>
      </c>
      <c r="U134" s="186" t="str">
        <f t="shared" ca="1" si="32"/>
        <v>février</v>
      </c>
      <c r="X134" s="347">
        <f t="shared" ca="1" si="36"/>
        <v>46053</v>
      </c>
      <c r="Y134" s="452" t="str">
        <f t="shared" ca="1" si="33"/>
        <v>Sam. février , 2026</v>
      </c>
      <c r="Z134" s="143">
        <f t="shared" ca="1" si="24"/>
        <v>28</v>
      </c>
      <c r="AA134" s="348">
        <f t="shared" ca="1" si="25"/>
        <v>2</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Sam</v>
      </c>
      <c r="U135" s="186" t="str">
        <f t="shared" ca="1" si="32"/>
        <v>février</v>
      </c>
      <c r="X135" s="347">
        <f t="shared" ca="1" si="36"/>
        <v>46053</v>
      </c>
      <c r="Y135" s="452" t="str">
        <f t="shared" ca="1" si="33"/>
        <v>Sam. février , 2026</v>
      </c>
      <c r="Z135" s="143">
        <f t="shared" ca="1" si="24"/>
        <v>28</v>
      </c>
      <c r="AA135" s="348">
        <f t="shared" ca="1" si="25"/>
        <v>2</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Sam</v>
      </c>
      <c r="U136" s="186" t="str">
        <f t="shared" ca="1" si="32"/>
        <v>février</v>
      </c>
      <c r="X136" s="347">
        <f t="shared" ca="1" si="36"/>
        <v>46053</v>
      </c>
      <c r="Y136" s="452" t="str">
        <f t="shared" ca="1" si="33"/>
        <v>Sam. février , 2026</v>
      </c>
      <c r="Z136" s="143">
        <f t="shared" ca="1" si="24"/>
        <v>28</v>
      </c>
      <c r="AA136" s="348">
        <f t="shared" ca="1" si="25"/>
        <v>2</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Sam</v>
      </c>
      <c r="U137" s="186" t="str">
        <f t="shared" ca="1" si="32"/>
        <v>février</v>
      </c>
      <c r="X137" s="347">
        <f t="shared" ca="1" si="36"/>
        <v>46053</v>
      </c>
      <c r="Y137" s="452" t="str">
        <f t="shared" ca="1" si="33"/>
        <v>Sam. février , 2026</v>
      </c>
      <c r="Z137" s="143">
        <f t="shared" ca="1" si="24"/>
        <v>28</v>
      </c>
      <c r="AA137" s="348">
        <f t="shared" ca="1" si="25"/>
        <v>2</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Sam</v>
      </c>
      <c r="U138" s="186" t="str">
        <f t="shared" ca="1" si="32"/>
        <v>février</v>
      </c>
      <c r="X138" s="347">
        <f t="shared" ca="1" si="36"/>
        <v>46053</v>
      </c>
      <c r="Y138" s="452" t="str">
        <f t="shared" ca="1" si="33"/>
        <v>Sam. février , 2026</v>
      </c>
      <c r="Z138" s="143">
        <f t="shared" ca="1" si="24"/>
        <v>28</v>
      </c>
      <c r="AA138" s="348">
        <f t="shared" ca="1" si="25"/>
        <v>2</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Sam</v>
      </c>
      <c r="U139" s="186" t="str">
        <f t="shared" ca="1" si="32"/>
        <v>février</v>
      </c>
      <c r="X139" s="347">
        <f t="shared" ca="1" si="36"/>
        <v>46053</v>
      </c>
      <c r="Y139" s="452" t="str">
        <f t="shared" ca="1" si="33"/>
        <v>Sam. février , 2026</v>
      </c>
      <c r="Z139" s="143">
        <f t="shared" ca="1" si="24"/>
        <v>28</v>
      </c>
      <c r="AA139" s="348">
        <f t="shared" ca="1" si="25"/>
        <v>2</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Sam</v>
      </c>
      <c r="U140" s="186" t="str">
        <f t="shared" ca="1" si="32"/>
        <v>février</v>
      </c>
      <c r="X140" s="347">
        <f t="shared" ca="1" si="36"/>
        <v>46053</v>
      </c>
      <c r="Y140" s="452" t="str">
        <f t="shared" ca="1" si="33"/>
        <v>Sam. février , 2026</v>
      </c>
      <c r="Z140" s="143">
        <f t="shared" ca="1" si="24"/>
        <v>28</v>
      </c>
      <c r="AA140" s="348">
        <f t="shared" ca="1" si="25"/>
        <v>2</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Sam</v>
      </c>
      <c r="U141" s="186" t="str">
        <f t="shared" ca="1" si="32"/>
        <v>février</v>
      </c>
      <c r="X141" s="347">
        <f t="shared" ca="1" si="36"/>
        <v>46053</v>
      </c>
      <c r="Y141" s="452" t="str">
        <f t="shared" ca="1" si="33"/>
        <v>Sam. février , 2026</v>
      </c>
      <c r="Z141" s="143">
        <f t="shared" ca="1" si="24"/>
        <v>28</v>
      </c>
      <c r="AA141" s="348">
        <f t="shared" ca="1" si="25"/>
        <v>2</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Sam</v>
      </c>
      <c r="U142" s="186" t="str">
        <f t="shared" ca="1" si="32"/>
        <v>février</v>
      </c>
      <c r="X142" s="347">
        <f t="shared" ca="1" si="36"/>
        <v>46053</v>
      </c>
      <c r="Y142" s="452" t="str">
        <f t="shared" ca="1" si="33"/>
        <v>Sam. février , 2026</v>
      </c>
      <c r="Z142" s="143">
        <f t="shared" ca="1" si="24"/>
        <v>28</v>
      </c>
      <c r="AA142" s="348">
        <f t="shared" ca="1" si="25"/>
        <v>2</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Sam</v>
      </c>
      <c r="U143" s="186" t="str">
        <f t="shared" ca="1" si="32"/>
        <v>février</v>
      </c>
      <c r="X143" s="347">
        <f t="shared" ca="1" si="36"/>
        <v>46053</v>
      </c>
      <c r="Y143" s="452" t="str">
        <f t="shared" ca="1" si="33"/>
        <v>Sam. février , 2026</v>
      </c>
      <c r="Z143" s="143">
        <f t="shared" ca="1" si="24"/>
        <v>28</v>
      </c>
      <c r="AA143" s="348">
        <f t="shared" ca="1" si="25"/>
        <v>2</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Sam</v>
      </c>
      <c r="U144" s="186" t="str">
        <f t="shared" ca="1" si="32"/>
        <v>février</v>
      </c>
      <c r="X144" s="347">
        <f t="shared" ca="1" si="36"/>
        <v>46053</v>
      </c>
      <c r="Y144" s="452" t="str">
        <f t="shared" ca="1" si="33"/>
        <v>Sam. février , 2026</v>
      </c>
      <c r="Z144" s="143">
        <f t="shared" ca="1" si="24"/>
        <v>28</v>
      </c>
      <c r="AA144" s="348">
        <f t="shared" ca="1" si="25"/>
        <v>2</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Sam</v>
      </c>
      <c r="U145" s="186" t="str">
        <f t="shared" ca="1" si="32"/>
        <v>février</v>
      </c>
      <c r="X145" s="347">
        <f t="shared" ca="1" si="36"/>
        <v>46053</v>
      </c>
      <c r="Y145" s="452" t="str">
        <f t="shared" ca="1" si="33"/>
        <v>Sam. février , 2026</v>
      </c>
      <c r="Z145" s="143">
        <f t="shared" ca="1" si="24"/>
        <v>28</v>
      </c>
      <c r="AA145" s="348">
        <f t="shared" ca="1" si="25"/>
        <v>2</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Sam</v>
      </c>
      <c r="U146" s="186" t="str">
        <f t="shared" ca="1" si="32"/>
        <v>février</v>
      </c>
      <c r="X146" s="347">
        <f t="shared" ca="1" si="36"/>
        <v>46053</v>
      </c>
      <c r="Y146" s="452" t="str">
        <f t="shared" ca="1" si="33"/>
        <v>Sam. février , 2026</v>
      </c>
      <c r="Z146" s="143">
        <f t="shared" ca="1" si="24"/>
        <v>28</v>
      </c>
      <c r="AA146" s="348">
        <f t="shared" ca="1" si="25"/>
        <v>2</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Sam</v>
      </c>
      <c r="U147" s="186" t="str">
        <f t="shared" ca="1" si="32"/>
        <v>février</v>
      </c>
      <c r="X147" s="347">
        <f t="shared" ca="1" si="36"/>
        <v>46053</v>
      </c>
      <c r="Y147" s="452" t="str">
        <f t="shared" ca="1" si="33"/>
        <v>Sam. février , 2026</v>
      </c>
      <c r="Z147" s="143">
        <f t="shared" ca="1" si="24"/>
        <v>28</v>
      </c>
      <c r="AA147" s="348">
        <f t="shared" ca="1" si="25"/>
        <v>2</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Sam</v>
      </c>
      <c r="U148" s="186" t="str">
        <f t="shared" ca="1" si="32"/>
        <v>février</v>
      </c>
      <c r="X148" s="347">
        <f t="shared" ca="1" si="36"/>
        <v>46053</v>
      </c>
      <c r="Y148" s="452" t="str">
        <f t="shared" ca="1" si="33"/>
        <v>Sam. février , 2026</v>
      </c>
      <c r="Z148" s="143">
        <f t="shared" ref="Z148:Z194" ca="1" si="43">MIN(R148,$AF$5)</f>
        <v>28</v>
      </c>
      <c r="AA148" s="348">
        <f t="shared" ref="AA148:AA194" ca="1" si="44">$AD$6</f>
        <v>2</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Sam</v>
      </c>
      <c r="U149" s="186" t="str">
        <f t="shared" ref="U149:U194" ca="1" si="51">$U$19</f>
        <v>février</v>
      </c>
      <c r="X149" s="347">
        <f t="shared" ca="1" si="36"/>
        <v>46053</v>
      </c>
      <c r="Y149" s="452" t="str">
        <f t="shared" ref="Y149:Y194" ca="1" si="52">IF(Y143="f",T149&amp;". "&amp;" "&amp;R149&amp;" "&amp;U149&amp;" "&amp;$AE$7,T149&amp;". "&amp;U149&amp;" "&amp;R149&amp;", "&amp;$AE$7)</f>
        <v>Sam. février , 2026</v>
      </c>
      <c r="Z149" s="143">
        <f t="shared" ca="1" si="43"/>
        <v>28</v>
      </c>
      <c r="AA149" s="348">
        <f t="shared" ca="1" si="44"/>
        <v>2</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Sam</v>
      </c>
      <c r="U150" s="186" t="str">
        <f t="shared" ca="1" si="51"/>
        <v>février</v>
      </c>
      <c r="X150" s="347">
        <f t="shared" ref="X150:X194" ca="1" si="55">$AE$8+D150</f>
        <v>46053</v>
      </c>
      <c r="Y150" s="452" t="str">
        <f t="shared" ca="1" si="52"/>
        <v>Sam. février , 2026</v>
      </c>
      <c r="Z150" s="143">
        <f t="shared" ca="1" si="43"/>
        <v>28</v>
      </c>
      <c r="AA150" s="348">
        <f t="shared" ca="1" si="44"/>
        <v>2</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Sam</v>
      </c>
      <c r="U151" s="186" t="str">
        <f t="shared" ca="1" si="51"/>
        <v>février</v>
      </c>
      <c r="X151" s="347">
        <f t="shared" ca="1" si="55"/>
        <v>46053</v>
      </c>
      <c r="Y151" s="452" t="str">
        <f t="shared" ca="1" si="52"/>
        <v>Sam. février , 2026</v>
      </c>
      <c r="Z151" s="143">
        <f t="shared" ca="1" si="43"/>
        <v>28</v>
      </c>
      <c r="AA151" s="348">
        <f t="shared" ca="1" si="44"/>
        <v>2</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Sam</v>
      </c>
      <c r="U152" s="186" t="str">
        <f t="shared" ca="1" si="51"/>
        <v>février</v>
      </c>
      <c r="X152" s="347">
        <f t="shared" ca="1" si="55"/>
        <v>46053</v>
      </c>
      <c r="Y152" s="452" t="str">
        <f t="shared" ca="1" si="52"/>
        <v>Sam. février , 2026</v>
      </c>
      <c r="Z152" s="143">
        <f t="shared" ca="1" si="43"/>
        <v>28</v>
      </c>
      <c r="AA152" s="348">
        <f t="shared" ca="1" si="44"/>
        <v>2</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Sam</v>
      </c>
      <c r="U153" s="186" t="str">
        <f t="shared" ca="1" si="51"/>
        <v>février</v>
      </c>
      <c r="X153" s="347">
        <f t="shared" ca="1" si="55"/>
        <v>46053</v>
      </c>
      <c r="Y153" s="452" t="str">
        <f t="shared" ca="1" si="52"/>
        <v>Sam. février , 2026</v>
      </c>
      <c r="Z153" s="143">
        <f t="shared" ca="1" si="43"/>
        <v>28</v>
      </c>
      <c r="AA153" s="348">
        <f t="shared" ca="1" si="44"/>
        <v>2</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Sam</v>
      </c>
      <c r="U154" s="186" t="str">
        <f t="shared" ca="1" si="51"/>
        <v>février</v>
      </c>
      <c r="X154" s="347">
        <f t="shared" ca="1" si="55"/>
        <v>46053</v>
      </c>
      <c r="Y154" s="452" t="str">
        <f t="shared" ca="1" si="52"/>
        <v>Sam. février , 2026</v>
      </c>
      <c r="Z154" s="143">
        <f t="shared" ca="1" si="43"/>
        <v>28</v>
      </c>
      <c r="AA154" s="348">
        <f t="shared" ca="1" si="44"/>
        <v>2</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Sam</v>
      </c>
      <c r="U155" s="186" t="str">
        <f t="shared" ca="1" si="51"/>
        <v>février</v>
      </c>
      <c r="X155" s="347">
        <f t="shared" ca="1" si="55"/>
        <v>46053</v>
      </c>
      <c r="Y155" s="452" t="str">
        <f t="shared" ca="1" si="52"/>
        <v>Sam. février , 2026</v>
      </c>
      <c r="Z155" s="143">
        <f t="shared" ca="1" si="43"/>
        <v>28</v>
      </c>
      <c r="AA155" s="348">
        <f t="shared" ca="1" si="44"/>
        <v>2</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Sam</v>
      </c>
      <c r="U156" s="186" t="str">
        <f t="shared" ca="1" si="51"/>
        <v>février</v>
      </c>
      <c r="X156" s="347">
        <f t="shared" ca="1" si="55"/>
        <v>46053</v>
      </c>
      <c r="Y156" s="452" t="str">
        <f t="shared" ca="1" si="52"/>
        <v>Sam. février , 2026</v>
      </c>
      <c r="Z156" s="143">
        <f t="shared" ca="1" si="43"/>
        <v>28</v>
      </c>
      <c r="AA156" s="348">
        <f t="shared" ca="1" si="44"/>
        <v>2</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Sam</v>
      </c>
      <c r="U157" s="186" t="str">
        <f t="shared" ca="1" si="51"/>
        <v>février</v>
      </c>
      <c r="X157" s="347">
        <f t="shared" ca="1" si="55"/>
        <v>46053</v>
      </c>
      <c r="Y157" s="452" t="str">
        <f t="shared" ca="1" si="52"/>
        <v>Sam. février , 2026</v>
      </c>
      <c r="Z157" s="143">
        <f t="shared" ca="1" si="43"/>
        <v>28</v>
      </c>
      <c r="AA157" s="348">
        <f t="shared" ca="1" si="44"/>
        <v>2</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Sam</v>
      </c>
      <c r="U158" s="186" t="str">
        <f t="shared" ca="1" si="51"/>
        <v>février</v>
      </c>
      <c r="X158" s="347">
        <f t="shared" ca="1" si="55"/>
        <v>46053</v>
      </c>
      <c r="Y158" s="452" t="str">
        <f t="shared" ca="1" si="52"/>
        <v>Sam. février , 2026</v>
      </c>
      <c r="Z158" s="143">
        <f t="shared" ca="1" si="43"/>
        <v>28</v>
      </c>
      <c r="AA158" s="348">
        <f t="shared" ca="1" si="44"/>
        <v>2</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Sam</v>
      </c>
      <c r="U159" s="186" t="str">
        <f t="shared" ca="1" si="51"/>
        <v>février</v>
      </c>
      <c r="X159" s="347">
        <f t="shared" ca="1" si="55"/>
        <v>46053</v>
      </c>
      <c r="Y159" s="452" t="str">
        <f t="shared" ca="1" si="52"/>
        <v>Sam. février , 2026</v>
      </c>
      <c r="Z159" s="143">
        <f t="shared" ca="1" si="43"/>
        <v>28</v>
      </c>
      <c r="AA159" s="348">
        <f t="shared" ca="1" si="44"/>
        <v>2</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Sam</v>
      </c>
      <c r="U160" s="186" t="str">
        <f t="shared" ca="1" si="51"/>
        <v>février</v>
      </c>
      <c r="X160" s="347">
        <f t="shared" ca="1" si="55"/>
        <v>46053</v>
      </c>
      <c r="Y160" s="452" t="str">
        <f t="shared" ca="1" si="52"/>
        <v>Sam. février , 2026</v>
      </c>
      <c r="Z160" s="143">
        <f t="shared" ca="1" si="43"/>
        <v>28</v>
      </c>
      <c r="AA160" s="348">
        <f t="shared" ca="1" si="44"/>
        <v>2</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Sam</v>
      </c>
      <c r="U161" s="186" t="str">
        <f t="shared" ca="1" si="51"/>
        <v>février</v>
      </c>
      <c r="X161" s="347">
        <f t="shared" ca="1" si="55"/>
        <v>46053</v>
      </c>
      <c r="Y161" s="452" t="str">
        <f t="shared" ca="1" si="52"/>
        <v>Sam. février , 2026</v>
      </c>
      <c r="Z161" s="143">
        <f t="shared" ca="1" si="43"/>
        <v>28</v>
      </c>
      <c r="AA161" s="348">
        <f t="shared" ca="1" si="44"/>
        <v>2</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Sam</v>
      </c>
      <c r="U162" s="186" t="str">
        <f t="shared" ca="1" si="51"/>
        <v>février</v>
      </c>
      <c r="X162" s="347">
        <f t="shared" ca="1" si="55"/>
        <v>46053</v>
      </c>
      <c r="Y162" s="452" t="str">
        <f t="shared" ca="1" si="52"/>
        <v>Sam. février , 2026</v>
      </c>
      <c r="Z162" s="143">
        <f t="shared" ca="1" si="43"/>
        <v>28</v>
      </c>
      <c r="AA162" s="348">
        <f t="shared" ca="1" si="44"/>
        <v>2</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Sam</v>
      </c>
      <c r="U163" s="186" t="str">
        <f t="shared" ca="1" si="51"/>
        <v>février</v>
      </c>
      <c r="X163" s="347">
        <f t="shared" ca="1" si="55"/>
        <v>46053</v>
      </c>
      <c r="Y163" s="452" t="str">
        <f t="shared" ca="1" si="52"/>
        <v>Sam. février , 2026</v>
      </c>
      <c r="Z163" s="143">
        <f t="shared" ca="1" si="43"/>
        <v>28</v>
      </c>
      <c r="AA163" s="348">
        <f t="shared" ca="1" si="44"/>
        <v>2</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Sam</v>
      </c>
      <c r="U164" s="186" t="str">
        <f t="shared" ca="1" si="51"/>
        <v>février</v>
      </c>
      <c r="X164" s="347">
        <f t="shared" ca="1" si="55"/>
        <v>46053</v>
      </c>
      <c r="Y164" s="452" t="str">
        <f t="shared" ca="1" si="52"/>
        <v>Sam. février , 2026</v>
      </c>
      <c r="Z164" s="143">
        <f t="shared" ca="1" si="43"/>
        <v>28</v>
      </c>
      <c r="AA164" s="348">
        <f t="shared" ca="1" si="44"/>
        <v>2</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Sam</v>
      </c>
      <c r="U165" s="186" t="str">
        <f t="shared" ca="1" si="51"/>
        <v>février</v>
      </c>
      <c r="X165" s="347">
        <f t="shared" ca="1" si="55"/>
        <v>46053</v>
      </c>
      <c r="Y165" s="452" t="str">
        <f t="shared" ca="1" si="52"/>
        <v>Sam. février , 2026</v>
      </c>
      <c r="Z165" s="143">
        <f t="shared" ca="1" si="43"/>
        <v>28</v>
      </c>
      <c r="AA165" s="348">
        <f t="shared" ca="1" si="44"/>
        <v>2</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Sam</v>
      </c>
      <c r="U166" s="186" t="str">
        <f t="shared" ca="1" si="51"/>
        <v>février</v>
      </c>
      <c r="X166" s="347">
        <f t="shared" ca="1" si="55"/>
        <v>46053</v>
      </c>
      <c r="Y166" s="452" t="str">
        <f t="shared" ca="1" si="52"/>
        <v>Sam. février , 2026</v>
      </c>
      <c r="Z166" s="143">
        <f t="shared" ca="1" si="43"/>
        <v>28</v>
      </c>
      <c r="AA166" s="348">
        <f t="shared" ca="1" si="44"/>
        <v>2</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Sam</v>
      </c>
      <c r="U167" s="186" t="str">
        <f t="shared" ca="1" si="51"/>
        <v>février</v>
      </c>
      <c r="X167" s="347">
        <f t="shared" ca="1" si="55"/>
        <v>46053</v>
      </c>
      <c r="Y167" s="452" t="str">
        <f t="shared" ca="1" si="52"/>
        <v>Sam. février , 2026</v>
      </c>
      <c r="Z167" s="143">
        <f t="shared" ca="1" si="43"/>
        <v>28</v>
      </c>
      <c r="AA167" s="348">
        <f t="shared" ca="1" si="44"/>
        <v>2</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Sam</v>
      </c>
      <c r="U168" s="186" t="str">
        <f t="shared" ca="1" si="51"/>
        <v>février</v>
      </c>
      <c r="X168" s="347">
        <f t="shared" ca="1" si="55"/>
        <v>46053</v>
      </c>
      <c r="Y168" s="452" t="str">
        <f t="shared" ca="1" si="52"/>
        <v>Sam. février , 2026</v>
      </c>
      <c r="Z168" s="143">
        <f t="shared" ca="1" si="43"/>
        <v>28</v>
      </c>
      <c r="AA168" s="348">
        <f t="shared" ca="1" si="44"/>
        <v>2</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Sam</v>
      </c>
      <c r="U169" s="186" t="str">
        <f t="shared" ca="1" si="51"/>
        <v>février</v>
      </c>
      <c r="X169" s="347">
        <f t="shared" ca="1" si="55"/>
        <v>46053</v>
      </c>
      <c r="Y169" s="452" t="str">
        <f t="shared" ca="1" si="52"/>
        <v>Sam. février , 2026</v>
      </c>
      <c r="Z169" s="143">
        <f t="shared" ca="1" si="43"/>
        <v>28</v>
      </c>
      <c r="AA169" s="348">
        <f t="shared" ca="1" si="44"/>
        <v>2</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Sam</v>
      </c>
      <c r="U170" s="186" t="str">
        <f t="shared" ca="1" si="51"/>
        <v>février</v>
      </c>
      <c r="X170" s="347">
        <f t="shared" ca="1" si="55"/>
        <v>46053</v>
      </c>
      <c r="Y170" s="452" t="str">
        <f t="shared" ca="1" si="52"/>
        <v>Sam. février , 2026</v>
      </c>
      <c r="Z170" s="143">
        <f t="shared" ca="1" si="43"/>
        <v>28</v>
      </c>
      <c r="AA170" s="348">
        <f t="shared" ca="1" si="44"/>
        <v>2</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Sam</v>
      </c>
      <c r="U171" s="186" t="str">
        <f t="shared" ca="1" si="51"/>
        <v>février</v>
      </c>
      <c r="X171" s="347">
        <f t="shared" ca="1" si="55"/>
        <v>46053</v>
      </c>
      <c r="Y171" s="452" t="str">
        <f t="shared" ca="1" si="52"/>
        <v>Sam. février , 2026</v>
      </c>
      <c r="Z171" s="143">
        <f t="shared" ca="1" si="43"/>
        <v>28</v>
      </c>
      <c r="AA171" s="348">
        <f t="shared" ca="1" si="44"/>
        <v>2</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Sam</v>
      </c>
      <c r="U172" s="186" t="str">
        <f t="shared" ca="1" si="51"/>
        <v>février</v>
      </c>
      <c r="X172" s="347">
        <f t="shared" ca="1" si="55"/>
        <v>46053</v>
      </c>
      <c r="Y172" s="452" t="str">
        <f t="shared" ca="1" si="52"/>
        <v>Sam. février , 2026</v>
      </c>
      <c r="Z172" s="143">
        <f t="shared" ca="1" si="43"/>
        <v>28</v>
      </c>
      <c r="AA172" s="348">
        <f t="shared" ca="1" si="44"/>
        <v>2</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Sam</v>
      </c>
      <c r="U173" s="186" t="str">
        <f t="shared" ca="1" si="51"/>
        <v>février</v>
      </c>
      <c r="X173" s="347">
        <f t="shared" ca="1" si="55"/>
        <v>46053</v>
      </c>
      <c r="Y173" s="452" t="str">
        <f t="shared" ca="1" si="52"/>
        <v>Sam. février , 2026</v>
      </c>
      <c r="Z173" s="143">
        <f t="shared" ca="1" si="43"/>
        <v>28</v>
      </c>
      <c r="AA173" s="348">
        <f t="shared" ca="1" si="44"/>
        <v>2</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Sam</v>
      </c>
      <c r="U174" s="186" t="str">
        <f t="shared" ca="1" si="51"/>
        <v>février</v>
      </c>
      <c r="X174" s="347">
        <f t="shared" ca="1" si="55"/>
        <v>46053</v>
      </c>
      <c r="Y174" s="452" t="str">
        <f t="shared" ca="1" si="52"/>
        <v>Sam. février , 2026</v>
      </c>
      <c r="Z174" s="143">
        <f t="shared" ca="1" si="43"/>
        <v>28</v>
      </c>
      <c r="AA174" s="348">
        <f t="shared" ca="1" si="44"/>
        <v>2</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Sam</v>
      </c>
      <c r="U175" s="186" t="str">
        <f t="shared" ca="1" si="51"/>
        <v>février</v>
      </c>
      <c r="X175" s="347">
        <f t="shared" ca="1" si="55"/>
        <v>46053</v>
      </c>
      <c r="Y175" s="452" t="str">
        <f t="shared" ca="1" si="52"/>
        <v>Sam. février , 2026</v>
      </c>
      <c r="Z175" s="143">
        <f t="shared" ca="1" si="43"/>
        <v>28</v>
      </c>
      <c r="AA175" s="348">
        <f t="shared" ca="1" si="44"/>
        <v>2</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Sam</v>
      </c>
      <c r="U176" s="186" t="str">
        <f t="shared" ca="1" si="51"/>
        <v>février</v>
      </c>
      <c r="X176" s="347">
        <f t="shared" ca="1" si="55"/>
        <v>46053</v>
      </c>
      <c r="Y176" s="452" t="str">
        <f t="shared" ca="1" si="52"/>
        <v>Sam. février , 2026</v>
      </c>
      <c r="Z176" s="143">
        <f t="shared" ca="1" si="43"/>
        <v>28</v>
      </c>
      <c r="AA176" s="348">
        <f t="shared" ca="1" si="44"/>
        <v>2</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Sam</v>
      </c>
      <c r="U177" s="186" t="str">
        <f t="shared" ca="1" si="51"/>
        <v>février</v>
      </c>
      <c r="X177" s="347">
        <f t="shared" ca="1" si="55"/>
        <v>46053</v>
      </c>
      <c r="Y177" s="452" t="str">
        <f t="shared" ca="1" si="52"/>
        <v>Sam. février , 2026</v>
      </c>
      <c r="Z177" s="143">
        <f t="shared" ca="1" si="43"/>
        <v>28</v>
      </c>
      <c r="AA177" s="348">
        <f t="shared" ca="1" si="44"/>
        <v>2</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Sam</v>
      </c>
      <c r="U178" s="186" t="str">
        <f t="shared" ca="1" si="51"/>
        <v>février</v>
      </c>
      <c r="X178" s="347">
        <f t="shared" ca="1" si="55"/>
        <v>46053</v>
      </c>
      <c r="Y178" s="452" t="str">
        <f t="shared" ca="1" si="52"/>
        <v>Sam. février , 2026</v>
      </c>
      <c r="Z178" s="143">
        <f t="shared" ca="1" si="43"/>
        <v>28</v>
      </c>
      <c r="AA178" s="348">
        <f t="shared" ca="1" si="44"/>
        <v>2</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Sam</v>
      </c>
      <c r="U179" s="186" t="str">
        <f t="shared" ca="1" si="51"/>
        <v>février</v>
      </c>
      <c r="X179" s="347">
        <f t="shared" ca="1" si="55"/>
        <v>46053</v>
      </c>
      <c r="Y179" s="452" t="str">
        <f t="shared" ca="1" si="52"/>
        <v>Sam. février , 2026</v>
      </c>
      <c r="Z179" s="143">
        <f t="shared" ca="1" si="43"/>
        <v>28</v>
      </c>
      <c r="AA179" s="348">
        <f t="shared" ca="1" si="44"/>
        <v>2</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Sam</v>
      </c>
      <c r="U180" s="186" t="str">
        <f t="shared" ca="1" si="51"/>
        <v>février</v>
      </c>
      <c r="X180" s="347">
        <f t="shared" ca="1" si="55"/>
        <v>46053</v>
      </c>
      <c r="Y180" s="452" t="str">
        <f t="shared" ca="1" si="52"/>
        <v>Sam. février , 2026</v>
      </c>
      <c r="Z180" s="143">
        <f t="shared" ca="1" si="43"/>
        <v>28</v>
      </c>
      <c r="AA180" s="348">
        <f t="shared" ca="1" si="44"/>
        <v>2</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Sam</v>
      </c>
      <c r="U181" s="186" t="str">
        <f t="shared" ca="1" si="51"/>
        <v>février</v>
      </c>
      <c r="X181" s="347">
        <f t="shared" ca="1" si="55"/>
        <v>46053</v>
      </c>
      <c r="Y181" s="452" t="str">
        <f t="shared" ca="1" si="52"/>
        <v>Sam. février , 2026</v>
      </c>
      <c r="Z181" s="143">
        <f t="shared" ca="1" si="43"/>
        <v>28</v>
      </c>
      <c r="AA181" s="348">
        <f t="shared" ca="1" si="44"/>
        <v>2</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Sam</v>
      </c>
      <c r="U182" s="186" t="str">
        <f t="shared" ca="1" si="51"/>
        <v>février</v>
      </c>
      <c r="X182" s="347">
        <f t="shared" ca="1" si="55"/>
        <v>46053</v>
      </c>
      <c r="Y182" s="452" t="str">
        <f t="shared" ca="1" si="52"/>
        <v>Sam. février , 2026</v>
      </c>
      <c r="Z182" s="143">
        <f t="shared" ca="1" si="43"/>
        <v>28</v>
      </c>
      <c r="AA182" s="348">
        <f t="shared" ca="1" si="44"/>
        <v>2</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Sam</v>
      </c>
      <c r="U183" s="186" t="str">
        <f t="shared" ca="1" si="51"/>
        <v>février</v>
      </c>
      <c r="X183" s="347">
        <f t="shared" ca="1" si="55"/>
        <v>46053</v>
      </c>
      <c r="Y183" s="452" t="str">
        <f t="shared" ca="1" si="52"/>
        <v>Sam. février , 2026</v>
      </c>
      <c r="Z183" s="143">
        <f t="shared" ca="1" si="43"/>
        <v>28</v>
      </c>
      <c r="AA183" s="348">
        <f t="shared" ca="1" si="44"/>
        <v>2</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Sam</v>
      </c>
      <c r="U184" s="186" t="str">
        <f t="shared" ca="1" si="51"/>
        <v>février</v>
      </c>
      <c r="X184" s="347">
        <f t="shared" ca="1" si="55"/>
        <v>46053</v>
      </c>
      <c r="Y184" s="452" t="str">
        <f t="shared" ca="1" si="52"/>
        <v>Sam. février , 2026</v>
      </c>
      <c r="Z184" s="143">
        <f t="shared" ca="1" si="43"/>
        <v>28</v>
      </c>
      <c r="AA184" s="348">
        <f t="shared" ca="1" si="44"/>
        <v>2</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Sam</v>
      </c>
      <c r="U185" s="186" t="str">
        <f t="shared" ca="1" si="51"/>
        <v>février</v>
      </c>
      <c r="X185" s="347">
        <f t="shared" ca="1" si="55"/>
        <v>46053</v>
      </c>
      <c r="Y185" s="452" t="str">
        <f t="shared" ca="1" si="52"/>
        <v>Sam. février , 2026</v>
      </c>
      <c r="Z185" s="143">
        <f t="shared" ca="1" si="43"/>
        <v>28</v>
      </c>
      <c r="AA185" s="348">
        <f t="shared" ca="1" si="44"/>
        <v>2</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Sam</v>
      </c>
      <c r="U186" s="186" t="str">
        <f t="shared" ca="1" si="51"/>
        <v>février</v>
      </c>
      <c r="X186" s="347">
        <f t="shared" ca="1" si="55"/>
        <v>46053</v>
      </c>
      <c r="Y186" s="452" t="str">
        <f t="shared" ca="1" si="52"/>
        <v>Sam. février , 2026</v>
      </c>
      <c r="Z186" s="143">
        <f t="shared" ca="1" si="43"/>
        <v>28</v>
      </c>
      <c r="AA186" s="348">
        <f t="shared" ca="1" si="44"/>
        <v>2</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Sam</v>
      </c>
      <c r="U187" s="186" t="str">
        <f t="shared" ca="1" si="51"/>
        <v>février</v>
      </c>
      <c r="X187" s="347">
        <f t="shared" ca="1" si="55"/>
        <v>46053</v>
      </c>
      <c r="Y187" s="452" t="str">
        <f t="shared" ca="1" si="52"/>
        <v>Sam. février , 2026</v>
      </c>
      <c r="Z187" s="143">
        <f t="shared" ca="1" si="43"/>
        <v>28</v>
      </c>
      <c r="AA187" s="348">
        <f t="shared" ca="1" si="44"/>
        <v>2</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Sam</v>
      </c>
      <c r="U188" s="186" t="str">
        <f t="shared" ca="1" si="51"/>
        <v>février</v>
      </c>
      <c r="X188" s="347">
        <f t="shared" ca="1" si="55"/>
        <v>46053</v>
      </c>
      <c r="Y188" s="452" t="str">
        <f t="shared" ca="1" si="52"/>
        <v>Sam. février , 2026</v>
      </c>
      <c r="Z188" s="143">
        <f t="shared" ca="1" si="43"/>
        <v>28</v>
      </c>
      <c r="AA188" s="348">
        <f t="shared" ca="1" si="44"/>
        <v>2</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Sam</v>
      </c>
      <c r="U189" s="186" t="str">
        <f t="shared" ca="1" si="51"/>
        <v>février</v>
      </c>
      <c r="X189" s="347">
        <f t="shared" ca="1" si="55"/>
        <v>46053</v>
      </c>
      <c r="Y189" s="452" t="str">
        <f t="shared" ca="1" si="52"/>
        <v>Sam. février , 2026</v>
      </c>
      <c r="Z189" s="143">
        <f t="shared" ca="1" si="43"/>
        <v>28</v>
      </c>
      <c r="AA189" s="348">
        <f t="shared" ca="1" si="44"/>
        <v>2</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Sam</v>
      </c>
      <c r="U190" s="186" t="str">
        <f t="shared" ca="1" si="51"/>
        <v>février</v>
      </c>
      <c r="X190" s="347">
        <f t="shared" ca="1" si="55"/>
        <v>46053</v>
      </c>
      <c r="Y190" s="452" t="str">
        <f t="shared" ca="1" si="52"/>
        <v>Sam. février , 2026</v>
      </c>
      <c r="Z190" s="143">
        <f t="shared" ca="1" si="43"/>
        <v>28</v>
      </c>
      <c r="AA190" s="348">
        <f t="shared" ca="1" si="44"/>
        <v>2</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Sam</v>
      </c>
      <c r="U191" s="186" t="str">
        <f t="shared" ca="1" si="51"/>
        <v>février</v>
      </c>
      <c r="X191" s="347">
        <f t="shared" ca="1" si="55"/>
        <v>46053</v>
      </c>
      <c r="Y191" s="452" t="str">
        <f t="shared" ca="1" si="52"/>
        <v>Sam. février , 2026</v>
      </c>
      <c r="Z191" s="143">
        <f t="shared" ca="1" si="43"/>
        <v>28</v>
      </c>
      <c r="AA191" s="348">
        <f t="shared" ca="1" si="44"/>
        <v>2</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Sam</v>
      </c>
      <c r="U192" s="186" t="str">
        <f t="shared" ca="1" si="51"/>
        <v>février</v>
      </c>
      <c r="X192" s="347">
        <f t="shared" ca="1" si="55"/>
        <v>46053</v>
      </c>
      <c r="Y192" s="452" t="str">
        <f t="shared" ca="1" si="52"/>
        <v>Sam. février , 2026</v>
      </c>
      <c r="Z192" s="143">
        <f t="shared" ca="1" si="43"/>
        <v>28</v>
      </c>
      <c r="AA192" s="348">
        <f t="shared" ca="1" si="44"/>
        <v>2</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Sam</v>
      </c>
      <c r="U193" s="186" t="str">
        <f t="shared" ca="1" si="51"/>
        <v>février</v>
      </c>
      <c r="X193" s="347">
        <f t="shared" ca="1" si="55"/>
        <v>46053</v>
      </c>
      <c r="Y193" s="452" t="str">
        <f t="shared" ca="1" si="52"/>
        <v>Sam. février , 2026</v>
      </c>
      <c r="Z193" s="143">
        <f t="shared" ca="1" si="43"/>
        <v>28</v>
      </c>
      <c r="AA193" s="348">
        <f t="shared" ca="1" si="44"/>
        <v>2</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Sam</v>
      </c>
      <c r="U194" s="186" t="str">
        <f t="shared" ca="1" si="51"/>
        <v>février</v>
      </c>
      <c r="X194" s="347">
        <f t="shared" ca="1" si="55"/>
        <v>46053</v>
      </c>
      <c r="Y194" s="452" t="str">
        <f t="shared" ca="1" si="52"/>
        <v>Sam. février , 2026</v>
      </c>
      <c r="Z194" s="143">
        <f t="shared" ca="1" si="43"/>
        <v>28</v>
      </c>
      <c r="AA194" s="348">
        <f t="shared" ca="1" si="44"/>
        <v>2</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28</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28</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28</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28</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28</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B13:B15">
    <cfRule type="expression" dxfId="743" priority="58" stopIfTrue="1">
      <formula>AND($AJ$2=$AF$5,$X$16=$X$13)</formula>
    </cfRule>
  </conditionalFormatting>
  <conditionalFormatting sqref="B18">
    <cfRule type="expression" dxfId="742" priority="37" stopIfTrue="1">
      <formula>(B18&gt;DATE(2000+$Y$2,$AA$21+1,1)-DATE(2000+$Y$2,$AA$21,1))</formula>
    </cfRule>
  </conditionalFormatting>
  <conditionalFormatting sqref="B20:B194">
    <cfRule type="expression" dxfId="741" priority="4" stopIfTrue="1">
      <formula>($G20="- -")</formula>
    </cfRule>
  </conditionalFormatting>
  <conditionalFormatting sqref="B16:J16">
    <cfRule type="expression" dxfId="740" priority="44" stopIfTrue="1">
      <formula>AND($AJ$2=$AF$5,$X$16=$X$13)</formula>
    </cfRule>
  </conditionalFormatting>
  <conditionalFormatting sqref="C17">
    <cfRule type="cellIs" dxfId="739" priority="43" stopIfTrue="1" operator="equal">
      <formula>"X"</formula>
    </cfRule>
  </conditionalFormatting>
  <conditionalFormatting sqref="C20:C194">
    <cfRule type="expression" dxfId="738" priority="12" stopIfTrue="1">
      <formula>($X$16=$X$14)</formula>
    </cfRule>
    <cfRule type="expression" dxfId="737" priority="13" stopIfTrue="1">
      <formula>($AV20=1)</formula>
    </cfRule>
    <cfRule type="expression" dxfId="736" priority="14" stopIfTrue="1">
      <formula>AND(D20=1+D19,G20=X20)</formula>
    </cfRule>
  </conditionalFormatting>
  <conditionalFormatting sqref="C9:J9">
    <cfRule type="expression" dxfId="735" priority="69" stopIfTrue="1">
      <formula>AND(ISNUMBER(C$9),ISNUMBER(C10),(C$9&gt;C$10))</formula>
    </cfRule>
  </conditionalFormatting>
  <conditionalFormatting sqref="C10:J10">
    <cfRule type="expression" dxfId="734" priority="75" stopIfTrue="1">
      <formula>AND(ISNUMBER(C$9),ISNUMBER(C10),(C$9&gt;C$10))</formula>
    </cfRule>
  </conditionalFormatting>
  <conditionalFormatting sqref="D20">
    <cfRule type="expression" dxfId="733" priority="16" stopIfTrue="1">
      <formula>AND($G20&lt;&gt;"- -",$G20&lt;&gt;$Y20)</formula>
    </cfRule>
    <cfRule type="expression" dxfId="732" priority="17" stopIfTrue="1">
      <formula>($AI20=1)</formula>
    </cfRule>
  </conditionalFormatting>
  <conditionalFormatting sqref="D21:D194">
    <cfRule type="expression" dxfId="731" priority="61" stopIfTrue="1">
      <formula>($AI21=1)</formula>
    </cfRule>
    <cfRule type="expression" dxfId="730" priority="60" stopIfTrue="1">
      <formula>AND($G21&lt;&gt;"- -",$G21&lt;&gt;$Y21)</formula>
    </cfRule>
  </conditionalFormatting>
  <conditionalFormatting sqref="D18:G19">
    <cfRule type="expression" dxfId="729" priority="36" stopIfTrue="1">
      <formula>($AB$16&lt;2)</formula>
    </cfRule>
  </conditionalFormatting>
  <conditionalFormatting sqref="D20:G194">
    <cfRule type="expression" dxfId="728" priority="15" stopIfTrue="1">
      <formula>OR($G20=$G19,$D20=$D19)</formula>
    </cfRule>
  </conditionalFormatting>
  <conditionalFormatting sqref="E8:F8">
    <cfRule type="expression" dxfId="727" priority="71" stopIfTrue="1">
      <formula>AND(ISNUMBER(E$9),ISNUMBER(E10),(E$9&gt;E$10))</formula>
    </cfRule>
    <cfRule type="expression" dxfId="726" priority="70" stopIfTrue="1">
      <formula>(BJ$13&gt;0)</formula>
    </cfRule>
  </conditionalFormatting>
  <conditionalFormatting sqref="E20:G20">
    <cfRule type="expression" dxfId="725" priority="20" stopIfTrue="1">
      <formula>($AI20+$AX20&gt;0)</formula>
    </cfRule>
    <cfRule type="expression" dxfId="724" priority="19" stopIfTrue="1">
      <formula>AND($G20&lt;&gt;"- -",$G20&lt;&gt;$Y20)</formula>
    </cfRule>
  </conditionalFormatting>
  <conditionalFormatting sqref="E21:G194">
    <cfRule type="expression" dxfId="723" priority="64" stopIfTrue="1">
      <formula>($AI21+$AX21&gt;0)</formula>
    </cfRule>
    <cfRule type="expression" dxfId="722" priority="63" stopIfTrue="1">
      <formula>AND($G21&lt;&gt;"- -",$G21&lt;&gt;$Y21)</formula>
    </cfRule>
  </conditionalFormatting>
  <conditionalFormatting sqref="G8:J8">
    <cfRule type="expression" dxfId="721" priority="73" stopIfTrue="1">
      <formula>AND(ISNUMBER(G$9),ISNUMBER(G10),(G$9&gt;G$10))</formula>
    </cfRule>
    <cfRule type="expression" dxfId="720" priority="72" stopIfTrue="1">
      <formula>(BK$13&gt;0)</formula>
    </cfRule>
  </conditionalFormatting>
  <conditionalFormatting sqref="H6:I7">
    <cfRule type="expression" dxfId="719" priority="74" stopIfTrue="1">
      <formula>AND(ISNUMBER($H$7),$H$7&lt;$I$7)</formula>
    </cfRule>
  </conditionalFormatting>
  <conditionalFormatting sqref="H21:J194">
    <cfRule type="expression" dxfId="718" priority="2" stopIfTrue="1">
      <formula>($D20=$D21)</formula>
    </cfRule>
  </conditionalFormatting>
  <conditionalFormatting sqref="J7">
    <cfRule type="cellIs" dxfId="717" priority="48" stopIfTrue="1" operator="lessThan">
      <formula>0</formula>
    </cfRule>
  </conditionalFormatting>
  <conditionalFormatting sqref="K20:K34">
    <cfRule type="expression" dxfId="716" priority="68" stopIfTrue="1">
      <formula>AND(ISNUMBER(K20),ISNUMBER(L20),OR(K20&lt;L19,K20&gt;L20))</formula>
    </cfRule>
  </conditionalFormatting>
  <conditionalFormatting sqref="K35:K194">
    <cfRule type="expression" dxfId="715" priority="57" stopIfTrue="1">
      <formula>AND(ISNUMBER(K35),OR(K35&lt;L34,K35&gt;L35,$BM35&lt;&gt;1))</formula>
    </cfRule>
  </conditionalFormatting>
  <conditionalFormatting sqref="K18:L18 BE19:BF19">
    <cfRule type="expression" dxfId="714" priority="26" stopIfTrue="1">
      <formula>($K$19=$AL$7)</formula>
    </cfRule>
  </conditionalFormatting>
  <conditionalFormatting sqref="K20:M194">
    <cfRule type="expression" dxfId="713" priority="50" stopIfTrue="1">
      <formula>OR($AJ$2=$AF$5,$AW20=0,$AV20=1,$AG20=99)</formula>
    </cfRule>
  </conditionalFormatting>
  <conditionalFormatting sqref="L20:L34">
    <cfRule type="expression" dxfId="712" priority="66" stopIfTrue="1">
      <formula>AND(ISNUMBER(L20),OR(AND(L20&lt;K19,B20&gt;1),K20&gt;L20))</formula>
    </cfRule>
  </conditionalFormatting>
  <conditionalFormatting sqref="L35:L194">
    <cfRule type="expression" dxfId="711" priority="55" stopIfTrue="1">
      <formula>AND(ISNUMBER(L35),OR(AND(L35&lt;K34,B35&gt;1),K35&gt;L35,$BN35&lt;&gt;1))</formula>
    </cfRule>
  </conditionalFormatting>
  <conditionalFormatting sqref="M19 BG20">
    <cfRule type="cellIs" dxfId="710" priority="41" stopIfTrue="1" operator="equal">
      <formula>0</formula>
    </cfRule>
    <cfRule type="expression" dxfId="709" priority="42" stopIfTrue="1">
      <formula>($AJ$2=$AF$5)</formula>
    </cfRule>
  </conditionalFormatting>
  <conditionalFormatting sqref="M20:M194">
    <cfRule type="cellIs" dxfId="708" priority="51" stopIfTrue="1" operator="lessThan">
      <formula>0</formula>
    </cfRule>
    <cfRule type="expression" dxfId="707" priority="52" stopIfTrue="1">
      <formula>($D19=$D20)</formula>
    </cfRule>
  </conditionalFormatting>
  <conditionalFormatting sqref="N19:Q19 BH20:BK20">
    <cfRule type="cellIs" dxfId="706" priority="39" stopIfTrue="1" operator="equal">
      <formula>0</formula>
    </cfRule>
    <cfRule type="expression" dxfId="705" priority="40" stopIfTrue="1">
      <formula>($AJ$2=$AF$5)</formula>
    </cfRule>
  </conditionalFormatting>
  <conditionalFormatting sqref="N20:Q194">
    <cfRule type="expression" dxfId="704" priority="49" stopIfTrue="1">
      <formula>OR($AW20=0,$AV20=1,$AG20=99,$AJ$2=$AF$5)</formula>
    </cfRule>
  </conditionalFormatting>
  <conditionalFormatting sqref="R20:R194">
    <cfRule type="expression" dxfId="703" priority="11" stopIfTrue="1">
      <formula>($AI20=1)</formula>
    </cfRule>
    <cfRule type="expression" dxfId="702" priority="10" stopIfTrue="1">
      <formula>"ND($G21&lt;&gt;""- -"",$G21&lt;&gt;TEXT(X21,""Dddd, Mmmm dd, Yyyy""))"</formula>
    </cfRule>
    <cfRule type="expression" dxfId="701" priority="9" stopIfTrue="1">
      <formula>OR($G20=$G19,$D20=$D19)</formula>
    </cfRule>
  </conditionalFormatting>
  <conditionalFormatting sqref="U5">
    <cfRule type="expression" dxfId="700" priority="22" stopIfTrue="1">
      <formula>OR($AC$7,$AC$6)</formula>
    </cfRule>
  </conditionalFormatting>
  <conditionalFormatting sqref="U18 X20:Z194 AC20:AE194 AK20:AK194 AQ20:AR194">
    <cfRule type="cellIs" dxfId="699" priority="3" stopIfTrue="1" operator="notEqual">
      <formula>U17</formula>
    </cfRule>
  </conditionalFormatting>
  <conditionalFormatting sqref="U201:AB201">
    <cfRule type="expression" dxfId="698" priority="38" stopIfTrue="1">
      <formula>(LEN($X$11)&gt;4)</formula>
    </cfRule>
  </conditionalFormatting>
  <conditionalFormatting sqref="V5:V7 J6 U6:U7">
    <cfRule type="expression" dxfId="697" priority="21" stopIfTrue="1">
      <formula>OR($AC$7,$AC$6,#REF!)</formula>
    </cfRule>
  </conditionalFormatting>
  <conditionalFormatting sqref="V19">
    <cfRule type="cellIs" dxfId="696" priority="23" stopIfTrue="1" operator="equal">
      <formula>1</formula>
    </cfRule>
  </conditionalFormatting>
  <conditionalFormatting sqref="AB6">
    <cfRule type="expression" dxfId="695" priority="29" stopIfTrue="1">
      <formula>$AC$6</formula>
    </cfRule>
  </conditionalFormatting>
  <conditionalFormatting sqref="AB7">
    <cfRule type="expression" dxfId="694" priority="28" stopIfTrue="1">
      <formula>$AC$7</formula>
    </cfRule>
  </conditionalFormatting>
  <conditionalFormatting sqref="AB20:AB194">
    <cfRule type="cellIs" dxfId="693" priority="46" stopIfTrue="1" operator="greaterThan">
      <formula>0</formula>
    </cfRule>
    <cfRule type="cellIs" dxfId="692" priority="47" stopIfTrue="1" operator="lessThan">
      <formula>0</formula>
    </cfRule>
  </conditionalFormatting>
  <conditionalFormatting sqref="AF20:AG194">
    <cfRule type="cellIs" dxfId="691" priority="32" stopIfTrue="1" operator="greaterThan">
      <formula>1</formula>
    </cfRule>
  </conditionalFormatting>
  <conditionalFormatting sqref="AJ16:AJ17 AJ20:AJ194">
    <cfRule type="cellIs" dxfId="690" priority="31" stopIfTrue="1" operator="greaterThan">
      <formula>0</formula>
    </cfRule>
  </conditionalFormatting>
  <conditionalFormatting sqref="AK2:BO2">
    <cfRule type="cellIs" dxfId="689" priority="35" stopIfTrue="1" operator="equal">
      <formula>0</formula>
    </cfRule>
  </conditionalFormatting>
  <conditionalFormatting sqref="AK5:BO6">
    <cfRule type="cellIs" dxfId="688" priority="30" stopIfTrue="1" operator="equal">
      <formula>0</formula>
    </cfRule>
  </conditionalFormatting>
  <conditionalFormatting sqref="AP20:AP194">
    <cfRule type="cellIs" dxfId="687" priority="25" stopIfTrue="1" operator="lessThan">
      <formula>999</formula>
    </cfRule>
  </conditionalFormatting>
  <conditionalFormatting sqref="AU20:AU194">
    <cfRule type="expression" dxfId="686" priority="34" stopIfTrue="1">
      <formula>LEN(AU20)&gt;2</formula>
    </cfRule>
  </conditionalFormatting>
  <conditionalFormatting sqref="AV20:AV194">
    <cfRule type="cellIs" dxfId="685" priority="33" stopIfTrue="1" operator="equal">
      <formula>1</formula>
    </cfRule>
  </conditionalFormatting>
  <conditionalFormatting sqref="AW20:AW194">
    <cfRule type="cellIs" dxfId="684" priority="45" stopIfTrue="1" operator="equal">
      <formula>0</formula>
    </cfRule>
  </conditionalFormatting>
  <conditionalFormatting sqref="BE20:BF20">
    <cfRule type="expression" dxfId="683" priority="27" stopIfTrue="1">
      <formula>($K$19=$AL$7)</formula>
    </cfRule>
  </conditionalFormatting>
  <conditionalFormatting sqref="BI10:BI12 BF11:BF12">
    <cfRule type="expression" dxfId="682" priority="6" stopIfTrue="1">
      <formula>(LEN($C$9)=0)</formula>
    </cfRule>
  </conditionalFormatting>
  <conditionalFormatting sqref="BI10:BN12 BF11:BF12">
    <cfRule type="expression" dxfId="681" priority="5" stopIfTrue="1">
      <formula>LEN($AA9)&gt;4</formula>
    </cfRule>
  </conditionalFormatting>
  <conditionalFormatting sqref="BJ10:BN12">
    <cfRule type="expression" dxfId="680" priority="8" stopIfTrue="1">
      <formula>(LEN(E$9)=0)</formula>
    </cfRule>
  </conditionalFormatting>
  <conditionalFormatting sqref="BJ13:BN13 R16:R17">
    <cfRule type="cellIs" dxfId="679" priority="24" stopIfTrue="1" operator="equal">
      <formula>0</formula>
    </cfRule>
  </conditionalFormatting>
  <conditionalFormatting sqref="BM20:BN194">
    <cfRule type="cellIs" dxfId="678" priority="53" stopIfTrue="1" operator="notEqual">
      <formula>1</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automobile/2026/[electronic-car-log-2025-fr.xlsx]03</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03</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mars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March</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3</v>
      </c>
      <c r="AE6" s="144" t="str">
        <f ca="1">TEXT(DATE($AE$7,$AD$6,1),"Mmmm, YYYY")</f>
        <v>March,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46081</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mars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March</v>
      </c>
      <c r="V18" s="510" t="str">
        <f ca="1">AE6</f>
        <v>March,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mars</v>
      </c>
      <c r="V19" s="510" t="str">
        <f ca="1">U19&amp;" "&amp;Year_four_digits</f>
        <v>mars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Dim.  1 mars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Dim</v>
      </c>
      <c r="U20" s="186" t="str">
        <f ca="1">$U$19</f>
        <v>mars</v>
      </c>
      <c r="X20" s="347">
        <f ca="1">$AE$8+D20</f>
        <v>46082</v>
      </c>
      <c r="Y20" s="452" t="str">
        <f ca="1">IF(Y14="f",T20&amp;". "&amp;" "&amp;R20&amp;" "&amp;U20&amp;" "&amp;$AE$7,T20&amp;". "&amp;U20&amp;" "&amp;R20&amp;", "&amp;$AE$7)</f>
        <v>Dim.  1 mars 2026</v>
      </c>
      <c r="Z20" s="143">
        <f t="shared" ref="Z20:Z83" ca="1" si="4">MIN(R20,$AF$5)</f>
        <v>1</v>
      </c>
      <c r="AA20" s="348">
        <f t="shared" ref="AA20:AA83" ca="1" si="5">$AD$6</f>
        <v>3</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Sam</v>
      </c>
      <c r="U21" s="186" t="str">
        <f t="shared" ref="U21:U84" ca="1" si="13">$U$19</f>
        <v>mars</v>
      </c>
      <c r="X21" s="347">
        <f ca="1">$AE$8+D21</f>
        <v>46081</v>
      </c>
      <c r="Y21" s="452" t="str">
        <f t="shared" ref="Y21:Y84" ca="1" si="14">IF(Y15="f",T21&amp;". "&amp;" "&amp;R21&amp;" "&amp;U21&amp;" "&amp;$AE$7,T21&amp;". "&amp;U21&amp;" "&amp;R21&amp;", "&amp;$AE$7)</f>
        <v>Sam. mars , 2026</v>
      </c>
      <c r="Z21" s="143">
        <f t="shared" ca="1" si="4"/>
        <v>31</v>
      </c>
      <c r="AA21" s="348">
        <f t="shared" ca="1" si="5"/>
        <v>3</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Sam</v>
      </c>
      <c r="U22" s="186" t="str">
        <f t="shared" ca="1" si="13"/>
        <v>mars</v>
      </c>
      <c r="X22" s="347">
        <f t="shared" ref="X22:X85" ca="1" si="17">$AE$8+D22</f>
        <v>46081</v>
      </c>
      <c r="Y22" s="452" t="str">
        <f t="shared" ca="1" si="14"/>
        <v>Sam. mars , 2026</v>
      </c>
      <c r="Z22" s="143">
        <f t="shared" ca="1" si="4"/>
        <v>31</v>
      </c>
      <c r="AA22" s="348">
        <f t="shared" ca="1" si="5"/>
        <v>3</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Sam</v>
      </c>
      <c r="U23" s="186" t="str">
        <f t="shared" ca="1" si="13"/>
        <v>mars</v>
      </c>
      <c r="X23" s="347">
        <f t="shared" ca="1" si="17"/>
        <v>46081</v>
      </c>
      <c r="Y23" s="452" t="str">
        <f t="shared" ca="1" si="14"/>
        <v>Sam. mars , 2026</v>
      </c>
      <c r="Z23" s="143">
        <f t="shared" ca="1" si="4"/>
        <v>31</v>
      </c>
      <c r="AA23" s="348">
        <f t="shared" ca="1" si="5"/>
        <v>3</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Sam</v>
      </c>
      <c r="U24" s="186" t="str">
        <f t="shared" ca="1" si="13"/>
        <v>mars</v>
      </c>
      <c r="X24" s="347">
        <f t="shared" ca="1" si="17"/>
        <v>46081</v>
      </c>
      <c r="Y24" s="452" t="str">
        <f t="shared" ca="1" si="14"/>
        <v>Sam. mars , 2026</v>
      </c>
      <c r="Z24" s="143">
        <f t="shared" ca="1" si="4"/>
        <v>31</v>
      </c>
      <c r="AA24" s="348">
        <f t="shared" ca="1" si="5"/>
        <v>3</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Sam</v>
      </c>
      <c r="U25" s="186" t="str">
        <f t="shared" ca="1" si="13"/>
        <v>mars</v>
      </c>
      <c r="X25" s="347">
        <f t="shared" ca="1" si="17"/>
        <v>46081</v>
      </c>
      <c r="Y25" s="452" t="str">
        <f t="shared" ca="1" si="14"/>
        <v>Sam. mars , 2026</v>
      </c>
      <c r="Z25" s="143">
        <f t="shared" ca="1" si="4"/>
        <v>31</v>
      </c>
      <c r="AA25" s="348">
        <f t="shared" ca="1" si="5"/>
        <v>3</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Sam</v>
      </c>
      <c r="U26" s="186" t="str">
        <f t="shared" ca="1" si="13"/>
        <v>mars</v>
      </c>
      <c r="X26" s="347">
        <f t="shared" ca="1" si="17"/>
        <v>46081</v>
      </c>
      <c r="Y26" s="452" t="str">
        <f t="shared" ca="1" si="14"/>
        <v>Sam. mars , 2026</v>
      </c>
      <c r="Z26" s="143">
        <f t="shared" ca="1" si="4"/>
        <v>31</v>
      </c>
      <c r="AA26" s="348">
        <f t="shared" ca="1" si="5"/>
        <v>3</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Sam</v>
      </c>
      <c r="U27" s="186" t="str">
        <f t="shared" ca="1" si="13"/>
        <v>mars</v>
      </c>
      <c r="X27" s="347">
        <f t="shared" ca="1" si="17"/>
        <v>46081</v>
      </c>
      <c r="Y27" s="452" t="str">
        <f t="shared" ca="1" si="14"/>
        <v>Sam. mars , 2026</v>
      </c>
      <c r="Z27" s="143">
        <f t="shared" ca="1" si="4"/>
        <v>31</v>
      </c>
      <c r="AA27" s="348">
        <f t="shared" ca="1" si="5"/>
        <v>3</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Sam</v>
      </c>
      <c r="U28" s="186" t="str">
        <f t="shared" ca="1" si="13"/>
        <v>mars</v>
      </c>
      <c r="X28" s="347">
        <f t="shared" ca="1" si="17"/>
        <v>46081</v>
      </c>
      <c r="Y28" s="452" t="str">
        <f t="shared" ca="1" si="14"/>
        <v>Sam. mars , 2026</v>
      </c>
      <c r="Z28" s="143">
        <f t="shared" ca="1" si="4"/>
        <v>31</v>
      </c>
      <c r="AA28" s="348">
        <f t="shared" ca="1" si="5"/>
        <v>3</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Sam</v>
      </c>
      <c r="U29" s="186" t="str">
        <f t="shared" ca="1" si="13"/>
        <v>mars</v>
      </c>
      <c r="X29" s="347">
        <f t="shared" ca="1" si="17"/>
        <v>46081</v>
      </c>
      <c r="Y29" s="452" t="str">
        <f t="shared" ca="1" si="14"/>
        <v>Sam. mars , 2026</v>
      </c>
      <c r="Z29" s="143">
        <f t="shared" ca="1" si="4"/>
        <v>31</v>
      </c>
      <c r="AA29" s="348">
        <f t="shared" ca="1" si="5"/>
        <v>3</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Sam</v>
      </c>
      <c r="U30" s="186" t="str">
        <f t="shared" ca="1" si="13"/>
        <v>mars</v>
      </c>
      <c r="X30" s="347">
        <f t="shared" ca="1" si="17"/>
        <v>46081</v>
      </c>
      <c r="Y30" s="452" t="str">
        <f t="shared" ca="1" si="14"/>
        <v>Sam. mars , 2026</v>
      </c>
      <c r="Z30" s="143">
        <f t="shared" ca="1" si="4"/>
        <v>31</v>
      </c>
      <c r="AA30" s="348">
        <f t="shared" ca="1" si="5"/>
        <v>3</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Sam</v>
      </c>
      <c r="U31" s="186" t="str">
        <f t="shared" ca="1" si="13"/>
        <v>mars</v>
      </c>
      <c r="X31" s="347">
        <f t="shared" ca="1" si="17"/>
        <v>46081</v>
      </c>
      <c r="Y31" s="452" t="str">
        <f t="shared" ca="1" si="14"/>
        <v>Sam. mars , 2026</v>
      </c>
      <c r="Z31" s="143">
        <f t="shared" ca="1" si="4"/>
        <v>31</v>
      </c>
      <c r="AA31" s="348">
        <f t="shared" ca="1" si="5"/>
        <v>3</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Sam</v>
      </c>
      <c r="U32" s="186" t="str">
        <f t="shared" ca="1" si="13"/>
        <v>mars</v>
      </c>
      <c r="X32" s="347">
        <f t="shared" ca="1" si="17"/>
        <v>46081</v>
      </c>
      <c r="Y32" s="452" t="str">
        <f t="shared" ca="1" si="14"/>
        <v>Sam. mars , 2026</v>
      </c>
      <c r="Z32" s="143">
        <f t="shared" ca="1" si="4"/>
        <v>31</v>
      </c>
      <c r="AA32" s="348">
        <f t="shared" ca="1" si="5"/>
        <v>3</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Sam</v>
      </c>
      <c r="U33" s="186" t="str">
        <f t="shared" ca="1" si="13"/>
        <v>mars</v>
      </c>
      <c r="X33" s="347">
        <f t="shared" ca="1" si="17"/>
        <v>46081</v>
      </c>
      <c r="Y33" s="452" t="str">
        <f t="shared" ca="1" si="14"/>
        <v>Sam. mars , 2026</v>
      </c>
      <c r="Z33" s="143">
        <f t="shared" ca="1" si="4"/>
        <v>31</v>
      </c>
      <c r="AA33" s="348">
        <f t="shared" ca="1" si="5"/>
        <v>3</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Sam</v>
      </c>
      <c r="U34" s="186" t="str">
        <f t="shared" ca="1" si="13"/>
        <v>mars</v>
      </c>
      <c r="X34" s="347">
        <f t="shared" ca="1" si="17"/>
        <v>46081</v>
      </c>
      <c r="Y34" s="452" t="str">
        <f t="shared" ca="1" si="14"/>
        <v>Sam. mars , 2026</v>
      </c>
      <c r="Z34" s="143">
        <f t="shared" ca="1" si="4"/>
        <v>31</v>
      </c>
      <c r="AA34" s="348">
        <f t="shared" ca="1" si="5"/>
        <v>3</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Sam</v>
      </c>
      <c r="U35" s="186" t="str">
        <f t="shared" ca="1" si="13"/>
        <v>mars</v>
      </c>
      <c r="X35" s="347">
        <f t="shared" ca="1" si="17"/>
        <v>46081</v>
      </c>
      <c r="Y35" s="452" t="str">
        <f t="shared" ca="1" si="14"/>
        <v>Sam. mars , 2026</v>
      </c>
      <c r="Z35" s="143">
        <f t="shared" ca="1" si="4"/>
        <v>31</v>
      </c>
      <c r="AA35" s="348">
        <f t="shared" ca="1" si="5"/>
        <v>3</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Sam</v>
      </c>
      <c r="U36" s="186" t="str">
        <f t="shared" ca="1" si="13"/>
        <v>mars</v>
      </c>
      <c r="X36" s="347">
        <f t="shared" ca="1" si="17"/>
        <v>46081</v>
      </c>
      <c r="Y36" s="452" t="str">
        <f t="shared" ca="1" si="14"/>
        <v>Sam. mars , 2026</v>
      </c>
      <c r="Z36" s="143">
        <f t="shared" ca="1" si="4"/>
        <v>31</v>
      </c>
      <c r="AA36" s="348">
        <f t="shared" ca="1" si="5"/>
        <v>3</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Sam</v>
      </c>
      <c r="U37" s="186" t="str">
        <f t="shared" ca="1" si="13"/>
        <v>mars</v>
      </c>
      <c r="X37" s="347">
        <f t="shared" ca="1" si="17"/>
        <v>46081</v>
      </c>
      <c r="Y37" s="452" t="str">
        <f t="shared" ca="1" si="14"/>
        <v>Sam. mars , 2026</v>
      </c>
      <c r="Z37" s="143">
        <f t="shared" ca="1" si="4"/>
        <v>31</v>
      </c>
      <c r="AA37" s="348">
        <f t="shared" ca="1" si="5"/>
        <v>3</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Sam</v>
      </c>
      <c r="U38" s="186" t="str">
        <f t="shared" ca="1" si="13"/>
        <v>mars</v>
      </c>
      <c r="X38" s="347">
        <f t="shared" ca="1" si="17"/>
        <v>46081</v>
      </c>
      <c r="Y38" s="452" t="str">
        <f t="shared" ca="1" si="14"/>
        <v>Sam. mars , 2026</v>
      </c>
      <c r="Z38" s="143">
        <f t="shared" ca="1" si="4"/>
        <v>31</v>
      </c>
      <c r="AA38" s="348">
        <f t="shared" ca="1" si="5"/>
        <v>3</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Sam</v>
      </c>
      <c r="U39" s="186" t="str">
        <f t="shared" ca="1" si="13"/>
        <v>mars</v>
      </c>
      <c r="X39" s="347">
        <f t="shared" ca="1" si="17"/>
        <v>46081</v>
      </c>
      <c r="Y39" s="452" t="str">
        <f t="shared" ca="1" si="14"/>
        <v>Sam. mars , 2026</v>
      </c>
      <c r="Z39" s="143">
        <f t="shared" ca="1" si="4"/>
        <v>31</v>
      </c>
      <c r="AA39" s="348">
        <f t="shared" ca="1" si="5"/>
        <v>3</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Sam</v>
      </c>
      <c r="U40" s="186" t="str">
        <f t="shared" ca="1" si="13"/>
        <v>mars</v>
      </c>
      <c r="X40" s="347">
        <f t="shared" ca="1" si="17"/>
        <v>46081</v>
      </c>
      <c r="Y40" s="452" t="str">
        <f t="shared" ca="1" si="14"/>
        <v>Sam. mars , 2026</v>
      </c>
      <c r="Z40" s="143">
        <f t="shared" ca="1" si="4"/>
        <v>31</v>
      </c>
      <c r="AA40" s="348">
        <f t="shared" ca="1" si="5"/>
        <v>3</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Sam</v>
      </c>
      <c r="U41" s="186" t="str">
        <f t="shared" ca="1" si="13"/>
        <v>mars</v>
      </c>
      <c r="X41" s="347">
        <f t="shared" ca="1" si="17"/>
        <v>46081</v>
      </c>
      <c r="Y41" s="452" t="str">
        <f t="shared" ca="1" si="14"/>
        <v>Sam. mars , 2026</v>
      </c>
      <c r="Z41" s="143">
        <f t="shared" ca="1" si="4"/>
        <v>31</v>
      </c>
      <c r="AA41" s="348">
        <f t="shared" ca="1" si="5"/>
        <v>3</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Sam</v>
      </c>
      <c r="U42" s="186" t="str">
        <f t="shared" ca="1" si="13"/>
        <v>mars</v>
      </c>
      <c r="X42" s="347">
        <f t="shared" ca="1" si="17"/>
        <v>46081</v>
      </c>
      <c r="Y42" s="452" t="str">
        <f t="shared" ca="1" si="14"/>
        <v>Sam. mars , 2026</v>
      </c>
      <c r="Z42" s="143">
        <f t="shared" ca="1" si="4"/>
        <v>31</v>
      </c>
      <c r="AA42" s="348">
        <f t="shared" ca="1" si="5"/>
        <v>3</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Sam</v>
      </c>
      <c r="U43" s="186" t="str">
        <f t="shared" ca="1" si="13"/>
        <v>mars</v>
      </c>
      <c r="X43" s="347">
        <f t="shared" ca="1" si="17"/>
        <v>46081</v>
      </c>
      <c r="Y43" s="452" t="str">
        <f t="shared" ca="1" si="14"/>
        <v>Sam. mars , 2026</v>
      </c>
      <c r="Z43" s="143">
        <f t="shared" ca="1" si="4"/>
        <v>31</v>
      </c>
      <c r="AA43" s="348">
        <f t="shared" ca="1" si="5"/>
        <v>3</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Sam</v>
      </c>
      <c r="U44" s="186" t="str">
        <f t="shared" ca="1" si="13"/>
        <v>mars</v>
      </c>
      <c r="X44" s="347">
        <f t="shared" ca="1" si="17"/>
        <v>46081</v>
      </c>
      <c r="Y44" s="452" t="str">
        <f t="shared" ca="1" si="14"/>
        <v>Sam. mars , 2026</v>
      </c>
      <c r="Z44" s="143">
        <f t="shared" ca="1" si="4"/>
        <v>31</v>
      </c>
      <c r="AA44" s="348">
        <f t="shared" ca="1" si="5"/>
        <v>3</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Sam</v>
      </c>
      <c r="U45" s="186" t="str">
        <f t="shared" ca="1" si="13"/>
        <v>mars</v>
      </c>
      <c r="X45" s="347">
        <f t="shared" ca="1" si="17"/>
        <v>46081</v>
      </c>
      <c r="Y45" s="452" t="str">
        <f t="shared" ca="1" si="14"/>
        <v>Sam. mars , 2026</v>
      </c>
      <c r="Z45" s="143">
        <f t="shared" ca="1" si="4"/>
        <v>31</v>
      </c>
      <c r="AA45" s="348">
        <f t="shared" ca="1" si="5"/>
        <v>3</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Sam</v>
      </c>
      <c r="U46" s="186" t="str">
        <f t="shared" ca="1" si="13"/>
        <v>mars</v>
      </c>
      <c r="X46" s="347">
        <f t="shared" ca="1" si="17"/>
        <v>46081</v>
      </c>
      <c r="Y46" s="452" t="str">
        <f t="shared" ca="1" si="14"/>
        <v>Sam. mars , 2026</v>
      </c>
      <c r="Z46" s="143">
        <f t="shared" ca="1" si="4"/>
        <v>31</v>
      </c>
      <c r="AA46" s="348">
        <f t="shared" ca="1" si="5"/>
        <v>3</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Sam</v>
      </c>
      <c r="U47" s="186" t="str">
        <f t="shared" ca="1" si="13"/>
        <v>mars</v>
      </c>
      <c r="X47" s="347">
        <f t="shared" ca="1" si="17"/>
        <v>46081</v>
      </c>
      <c r="Y47" s="452" t="str">
        <f t="shared" ca="1" si="14"/>
        <v>Sam. mars , 2026</v>
      </c>
      <c r="Z47" s="143">
        <f t="shared" ca="1" si="4"/>
        <v>31</v>
      </c>
      <c r="AA47" s="348">
        <f t="shared" ca="1" si="5"/>
        <v>3</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Sam</v>
      </c>
      <c r="U48" s="186" t="str">
        <f t="shared" ca="1" si="13"/>
        <v>mars</v>
      </c>
      <c r="X48" s="347">
        <f t="shared" ca="1" si="17"/>
        <v>46081</v>
      </c>
      <c r="Y48" s="452" t="str">
        <f t="shared" ca="1" si="14"/>
        <v>Sam. mars , 2026</v>
      </c>
      <c r="Z48" s="143">
        <f t="shared" ca="1" si="4"/>
        <v>31</v>
      </c>
      <c r="AA48" s="348">
        <f t="shared" ca="1" si="5"/>
        <v>3</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Sam</v>
      </c>
      <c r="U49" s="186" t="str">
        <f t="shared" ca="1" si="13"/>
        <v>mars</v>
      </c>
      <c r="X49" s="347">
        <f t="shared" ca="1" si="17"/>
        <v>46081</v>
      </c>
      <c r="Y49" s="452" t="str">
        <f t="shared" ca="1" si="14"/>
        <v>Sam. mars , 2026</v>
      </c>
      <c r="Z49" s="143">
        <f t="shared" ca="1" si="4"/>
        <v>31</v>
      </c>
      <c r="AA49" s="348">
        <f t="shared" ca="1" si="5"/>
        <v>3</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Sam</v>
      </c>
      <c r="U50" s="186" t="str">
        <f t="shared" ca="1" si="13"/>
        <v>mars</v>
      </c>
      <c r="X50" s="347">
        <f t="shared" ca="1" si="17"/>
        <v>46081</v>
      </c>
      <c r="Y50" s="452" t="str">
        <f t="shared" ca="1" si="14"/>
        <v>Sam. mars , 2026</v>
      </c>
      <c r="Z50" s="143">
        <f t="shared" ca="1" si="4"/>
        <v>31</v>
      </c>
      <c r="AA50" s="348">
        <f t="shared" ca="1" si="5"/>
        <v>3</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Sam</v>
      </c>
      <c r="U51" s="186" t="str">
        <f t="shared" ca="1" si="13"/>
        <v>mars</v>
      </c>
      <c r="X51" s="347">
        <f t="shared" ca="1" si="17"/>
        <v>46081</v>
      </c>
      <c r="Y51" s="452" t="str">
        <f t="shared" ca="1" si="14"/>
        <v>Sam. mars , 2026</v>
      </c>
      <c r="Z51" s="143">
        <f t="shared" ca="1" si="4"/>
        <v>31</v>
      </c>
      <c r="AA51" s="348">
        <f t="shared" ca="1" si="5"/>
        <v>3</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Sam</v>
      </c>
      <c r="U52" s="186" t="str">
        <f t="shared" ca="1" si="13"/>
        <v>mars</v>
      </c>
      <c r="X52" s="347">
        <f t="shared" ca="1" si="17"/>
        <v>46081</v>
      </c>
      <c r="Y52" s="452" t="str">
        <f t="shared" ca="1" si="14"/>
        <v>Sam. mars , 2026</v>
      </c>
      <c r="Z52" s="143">
        <f t="shared" ca="1" si="4"/>
        <v>31</v>
      </c>
      <c r="AA52" s="348">
        <f t="shared" ca="1" si="5"/>
        <v>3</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Sam</v>
      </c>
      <c r="U53" s="186" t="str">
        <f t="shared" ca="1" si="13"/>
        <v>mars</v>
      </c>
      <c r="X53" s="347">
        <f t="shared" ca="1" si="17"/>
        <v>46081</v>
      </c>
      <c r="Y53" s="452" t="str">
        <f t="shared" ca="1" si="14"/>
        <v>Sam. mars , 2026</v>
      </c>
      <c r="Z53" s="143">
        <f t="shared" ca="1" si="4"/>
        <v>31</v>
      </c>
      <c r="AA53" s="348">
        <f t="shared" ca="1" si="5"/>
        <v>3</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Sam</v>
      </c>
      <c r="U54" s="186" t="str">
        <f t="shared" ca="1" si="13"/>
        <v>mars</v>
      </c>
      <c r="X54" s="347">
        <f t="shared" ca="1" si="17"/>
        <v>46081</v>
      </c>
      <c r="Y54" s="452" t="str">
        <f t="shared" ca="1" si="14"/>
        <v>Sam. mars , 2026</v>
      </c>
      <c r="Z54" s="143">
        <f t="shared" ca="1" si="4"/>
        <v>31</v>
      </c>
      <c r="AA54" s="348">
        <f t="shared" ca="1" si="5"/>
        <v>3</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Sam</v>
      </c>
      <c r="U55" s="186" t="str">
        <f t="shared" ca="1" si="13"/>
        <v>mars</v>
      </c>
      <c r="X55" s="347">
        <f t="shared" ca="1" si="17"/>
        <v>46081</v>
      </c>
      <c r="Y55" s="452" t="str">
        <f t="shared" ca="1" si="14"/>
        <v>Sam. mars , 2026</v>
      </c>
      <c r="Z55" s="143">
        <f t="shared" ca="1" si="4"/>
        <v>31</v>
      </c>
      <c r="AA55" s="348">
        <f t="shared" ca="1" si="5"/>
        <v>3</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Sam</v>
      </c>
      <c r="U56" s="186" t="str">
        <f t="shared" ca="1" si="13"/>
        <v>mars</v>
      </c>
      <c r="X56" s="347">
        <f t="shared" ca="1" si="17"/>
        <v>46081</v>
      </c>
      <c r="Y56" s="452" t="str">
        <f t="shared" ca="1" si="14"/>
        <v>Sam. mars , 2026</v>
      </c>
      <c r="Z56" s="143">
        <f t="shared" ca="1" si="4"/>
        <v>31</v>
      </c>
      <c r="AA56" s="348">
        <f t="shared" ca="1" si="5"/>
        <v>3</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Sam</v>
      </c>
      <c r="U57" s="186" t="str">
        <f t="shared" ca="1" si="13"/>
        <v>mars</v>
      </c>
      <c r="X57" s="347">
        <f t="shared" ca="1" si="17"/>
        <v>46081</v>
      </c>
      <c r="Y57" s="452" t="str">
        <f t="shared" ca="1" si="14"/>
        <v>Sam. mars , 2026</v>
      </c>
      <c r="Z57" s="143">
        <f t="shared" ca="1" si="4"/>
        <v>31</v>
      </c>
      <c r="AA57" s="348">
        <f t="shared" ca="1" si="5"/>
        <v>3</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Sam</v>
      </c>
      <c r="U58" s="186" t="str">
        <f t="shared" ca="1" si="13"/>
        <v>mars</v>
      </c>
      <c r="X58" s="347">
        <f t="shared" ca="1" si="17"/>
        <v>46081</v>
      </c>
      <c r="Y58" s="452" t="str">
        <f t="shared" ca="1" si="14"/>
        <v>Sam. mars , 2026</v>
      </c>
      <c r="Z58" s="143">
        <f t="shared" ca="1" si="4"/>
        <v>31</v>
      </c>
      <c r="AA58" s="348">
        <f t="shared" ca="1" si="5"/>
        <v>3</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Sam</v>
      </c>
      <c r="U59" s="186" t="str">
        <f t="shared" ca="1" si="13"/>
        <v>mars</v>
      </c>
      <c r="X59" s="347">
        <f t="shared" ca="1" si="17"/>
        <v>46081</v>
      </c>
      <c r="Y59" s="452" t="str">
        <f t="shared" ca="1" si="14"/>
        <v>Sam. mars , 2026</v>
      </c>
      <c r="Z59" s="143">
        <f t="shared" ca="1" si="4"/>
        <v>31</v>
      </c>
      <c r="AA59" s="348">
        <f t="shared" ca="1" si="5"/>
        <v>3</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Sam</v>
      </c>
      <c r="U60" s="186" t="str">
        <f t="shared" ca="1" si="13"/>
        <v>mars</v>
      </c>
      <c r="X60" s="347">
        <f t="shared" ca="1" si="17"/>
        <v>46081</v>
      </c>
      <c r="Y60" s="452" t="str">
        <f t="shared" ca="1" si="14"/>
        <v>Sam. mars , 2026</v>
      </c>
      <c r="Z60" s="143">
        <f t="shared" ca="1" si="4"/>
        <v>31</v>
      </c>
      <c r="AA60" s="348">
        <f t="shared" ca="1" si="5"/>
        <v>3</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Sam</v>
      </c>
      <c r="U61" s="186" t="str">
        <f t="shared" ca="1" si="13"/>
        <v>mars</v>
      </c>
      <c r="X61" s="347">
        <f t="shared" ca="1" si="17"/>
        <v>46081</v>
      </c>
      <c r="Y61" s="452" t="str">
        <f t="shared" ca="1" si="14"/>
        <v>Sam. mars , 2026</v>
      </c>
      <c r="Z61" s="143">
        <f t="shared" ca="1" si="4"/>
        <v>31</v>
      </c>
      <c r="AA61" s="348">
        <f t="shared" ca="1" si="5"/>
        <v>3</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Sam</v>
      </c>
      <c r="U62" s="186" t="str">
        <f t="shared" ca="1" si="13"/>
        <v>mars</v>
      </c>
      <c r="X62" s="347">
        <f t="shared" ca="1" si="17"/>
        <v>46081</v>
      </c>
      <c r="Y62" s="452" t="str">
        <f t="shared" ca="1" si="14"/>
        <v>Sam. mars , 2026</v>
      </c>
      <c r="Z62" s="143">
        <f t="shared" ca="1" si="4"/>
        <v>31</v>
      </c>
      <c r="AA62" s="348">
        <f t="shared" ca="1" si="5"/>
        <v>3</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Sam</v>
      </c>
      <c r="U63" s="186" t="str">
        <f t="shared" ca="1" si="13"/>
        <v>mars</v>
      </c>
      <c r="X63" s="347">
        <f t="shared" ca="1" si="17"/>
        <v>46081</v>
      </c>
      <c r="Y63" s="452" t="str">
        <f t="shared" ca="1" si="14"/>
        <v>Sam. mars , 2026</v>
      </c>
      <c r="Z63" s="143">
        <f t="shared" ca="1" si="4"/>
        <v>31</v>
      </c>
      <c r="AA63" s="348">
        <f t="shared" ca="1" si="5"/>
        <v>3</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Sam</v>
      </c>
      <c r="U64" s="186" t="str">
        <f t="shared" ca="1" si="13"/>
        <v>mars</v>
      </c>
      <c r="X64" s="347">
        <f t="shared" ca="1" si="17"/>
        <v>46081</v>
      </c>
      <c r="Y64" s="452" t="str">
        <f t="shared" ca="1" si="14"/>
        <v>Sam. mars , 2026</v>
      </c>
      <c r="Z64" s="143">
        <f t="shared" ca="1" si="4"/>
        <v>31</v>
      </c>
      <c r="AA64" s="348">
        <f t="shared" ca="1" si="5"/>
        <v>3</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Sam</v>
      </c>
      <c r="U65" s="186" t="str">
        <f t="shared" ca="1" si="13"/>
        <v>mars</v>
      </c>
      <c r="X65" s="347">
        <f t="shared" ca="1" si="17"/>
        <v>46081</v>
      </c>
      <c r="Y65" s="452" t="str">
        <f t="shared" ca="1" si="14"/>
        <v>Sam. mars , 2026</v>
      </c>
      <c r="Z65" s="143">
        <f t="shared" ca="1" si="4"/>
        <v>31</v>
      </c>
      <c r="AA65" s="348">
        <f t="shared" ca="1" si="5"/>
        <v>3</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Sam</v>
      </c>
      <c r="U66" s="186" t="str">
        <f t="shared" ca="1" si="13"/>
        <v>mars</v>
      </c>
      <c r="X66" s="347">
        <f t="shared" ca="1" si="17"/>
        <v>46081</v>
      </c>
      <c r="Y66" s="452" t="str">
        <f t="shared" ca="1" si="14"/>
        <v>Sam. mars , 2026</v>
      </c>
      <c r="Z66" s="143">
        <f t="shared" ca="1" si="4"/>
        <v>31</v>
      </c>
      <c r="AA66" s="348">
        <f t="shared" ca="1" si="5"/>
        <v>3</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Sam</v>
      </c>
      <c r="U67" s="186" t="str">
        <f t="shared" ca="1" si="13"/>
        <v>mars</v>
      </c>
      <c r="X67" s="347">
        <f t="shared" ca="1" si="17"/>
        <v>46081</v>
      </c>
      <c r="Y67" s="452" t="str">
        <f t="shared" ca="1" si="14"/>
        <v>Sam. mars , 2026</v>
      </c>
      <c r="Z67" s="143">
        <f t="shared" ca="1" si="4"/>
        <v>31</v>
      </c>
      <c r="AA67" s="348">
        <f t="shared" ca="1" si="5"/>
        <v>3</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Sam</v>
      </c>
      <c r="U68" s="186" t="str">
        <f t="shared" ca="1" si="13"/>
        <v>mars</v>
      </c>
      <c r="X68" s="347">
        <f t="shared" ca="1" si="17"/>
        <v>46081</v>
      </c>
      <c r="Y68" s="452" t="str">
        <f t="shared" ca="1" si="14"/>
        <v>Sam. mars , 2026</v>
      </c>
      <c r="Z68" s="143">
        <f t="shared" ca="1" si="4"/>
        <v>31</v>
      </c>
      <c r="AA68" s="348">
        <f t="shared" ca="1" si="5"/>
        <v>3</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Sam</v>
      </c>
      <c r="U69" s="186" t="str">
        <f t="shared" ca="1" si="13"/>
        <v>mars</v>
      </c>
      <c r="X69" s="347">
        <f t="shared" ca="1" si="17"/>
        <v>46081</v>
      </c>
      <c r="Y69" s="452" t="str">
        <f t="shared" ca="1" si="14"/>
        <v>Sam. mars , 2026</v>
      </c>
      <c r="Z69" s="143">
        <f t="shared" ca="1" si="4"/>
        <v>31</v>
      </c>
      <c r="AA69" s="348">
        <f t="shared" ca="1" si="5"/>
        <v>3</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Sam</v>
      </c>
      <c r="U70" s="186" t="str">
        <f t="shared" ca="1" si="13"/>
        <v>mars</v>
      </c>
      <c r="X70" s="347">
        <f t="shared" ca="1" si="17"/>
        <v>46081</v>
      </c>
      <c r="Y70" s="452" t="str">
        <f t="shared" ca="1" si="14"/>
        <v>Sam. mars , 2026</v>
      </c>
      <c r="Z70" s="143">
        <f t="shared" ca="1" si="4"/>
        <v>31</v>
      </c>
      <c r="AA70" s="348">
        <f t="shared" ca="1" si="5"/>
        <v>3</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Sam</v>
      </c>
      <c r="U71" s="186" t="str">
        <f t="shared" ca="1" si="13"/>
        <v>mars</v>
      </c>
      <c r="X71" s="347">
        <f t="shared" ca="1" si="17"/>
        <v>46081</v>
      </c>
      <c r="Y71" s="452" t="str">
        <f t="shared" ca="1" si="14"/>
        <v>Sam. mars , 2026</v>
      </c>
      <c r="Z71" s="143">
        <f t="shared" ca="1" si="4"/>
        <v>31</v>
      </c>
      <c r="AA71" s="348">
        <f t="shared" ca="1" si="5"/>
        <v>3</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Sam</v>
      </c>
      <c r="U72" s="186" t="str">
        <f t="shared" ca="1" si="13"/>
        <v>mars</v>
      </c>
      <c r="X72" s="347">
        <f t="shared" ca="1" si="17"/>
        <v>46081</v>
      </c>
      <c r="Y72" s="452" t="str">
        <f t="shared" ca="1" si="14"/>
        <v>Sam. mars , 2026</v>
      </c>
      <c r="Z72" s="143">
        <f t="shared" ca="1" si="4"/>
        <v>31</v>
      </c>
      <c r="AA72" s="348">
        <f t="shared" ca="1" si="5"/>
        <v>3</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Sam</v>
      </c>
      <c r="U73" s="186" t="str">
        <f t="shared" ca="1" si="13"/>
        <v>mars</v>
      </c>
      <c r="X73" s="347">
        <f t="shared" ca="1" si="17"/>
        <v>46081</v>
      </c>
      <c r="Y73" s="452" t="str">
        <f t="shared" ca="1" si="14"/>
        <v>Sam. mars , 2026</v>
      </c>
      <c r="Z73" s="143">
        <f t="shared" ca="1" si="4"/>
        <v>31</v>
      </c>
      <c r="AA73" s="348">
        <f t="shared" ca="1" si="5"/>
        <v>3</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Sam</v>
      </c>
      <c r="U74" s="186" t="str">
        <f t="shared" ca="1" si="13"/>
        <v>mars</v>
      </c>
      <c r="X74" s="347">
        <f t="shared" ca="1" si="17"/>
        <v>46081</v>
      </c>
      <c r="Y74" s="452" t="str">
        <f t="shared" ca="1" si="14"/>
        <v>Sam. mars , 2026</v>
      </c>
      <c r="Z74" s="143">
        <f t="shared" ca="1" si="4"/>
        <v>31</v>
      </c>
      <c r="AA74" s="348">
        <f t="shared" ca="1" si="5"/>
        <v>3</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Sam</v>
      </c>
      <c r="U75" s="186" t="str">
        <f t="shared" ca="1" si="13"/>
        <v>mars</v>
      </c>
      <c r="X75" s="347">
        <f t="shared" ca="1" si="17"/>
        <v>46081</v>
      </c>
      <c r="Y75" s="452" t="str">
        <f t="shared" ca="1" si="14"/>
        <v>Sam. mars , 2026</v>
      </c>
      <c r="Z75" s="143">
        <f t="shared" ca="1" si="4"/>
        <v>31</v>
      </c>
      <c r="AA75" s="348">
        <f t="shared" ca="1" si="5"/>
        <v>3</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Sam</v>
      </c>
      <c r="U76" s="186" t="str">
        <f t="shared" ca="1" si="13"/>
        <v>mars</v>
      </c>
      <c r="X76" s="347">
        <f t="shared" ca="1" si="17"/>
        <v>46081</v>
      </c>
      <c r="Y76" s="452" t="str">
        <f t="shared" ca="1" si="14"/>
        <v>Sam. mars , 2026</v>
      </c>
      <c r="Z76" s="143">
        <f t="shared" ca="1" si="4"/>
        <v>31</v>
      </c>
      <c r="AA76" s="348">
        <f t="shared" ca="1" si="5"/>
        <v>3</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Sam</v>
      </c>
      <c r="U77" s="186" t="str">
        <f t="shared" ca="1" si="13"/>
        <v>mars</v>
      </c>
      <c r="X77" s="347">
        <f t="shared" ca="1" si="17"/>
        <v>46081</v>
      </c>
      <c r="Y77" s="452" t="str">
        <f t="shared" ca="1" si="14"/>
        <v>Sam. mars , 2026</v>
      </c>
      <c r="Z77" s="143">
        <f t="shared" ca="1" si="4"/>
        <v>31</v>
      </c>
      <c r="AA77" s="348">
        <f t="shared" ca="1" si="5"/>
        <v>3</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Sam</v>
      </c>
      <c r="U78" s="186" t="str">
        <f t="shared" ca="1" si="13"/>
        <v>mars</v>
      </c>
      <c r="X78" s="347">
        <f t="shared" ca="1" si="17"/>
        <v>46081</v>
      </c>
      <c r="Y78" s="452" t="str">
        <f t="shared" ca="1" si="14"/>
        <v>Sam. mars , 2026</v>
      </c>
      <c r="Z78" s="143">
        <f t="shared" ca="1" si="4"/>
        <v>31</v>
      </c>
      <c r="AA78" s="348">
        <f t="shared" ca="1" si="5"/>
        <v>3</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Sam</v>
      </c>
      <c r="U79" s="186" t="str">
        <f t="shared" ca="1" si="13"/>
        <v>mars</v>
      </c>
      <c r="X79" s="347">
        <f t="shared" ca="1" si="17"/>
        <v>46081</v>
      </c>
      <c r="Y79" s="452" t="str">
        <f t="shared" ca="1" si="14"/>
        <v>Sam. mars , 2026</v>
      </c>
      <c r="Z79" s="143">
        <f t="shared" ca="1" si="4"/>
        <v>31</v>
      </c>
      <c r="AA79" s="348">
        <f t="shared" ca="1" si="5"/>
        <v>3</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Sam</v>
      </c>
      <c r="U80" s="186" t="str">
        <f t="shared" ca="1" si="13"/>
        <v>mars</v>
      </c>
      <c r="X80" s="347">
        <f t="shared" ca="1" si="17"/>
        <v>46081</v>
      </c>
      <c r="Y80" s="452" t="str">
        <f t="shared" ca="1" si="14"/>
        <v>Sam. mars , 2026</v>
      </c>
      <c r="Z80" s="143">
        <f t="shared" ca="1" si="4"/>
        <v>31</v>
      </c>
      <c r="AA80" s="348">
        <f t="shared" ca="1" si="5"/>
        <v>3</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Sam</v>
      </c>
      <c r="U81" s="186" t="str">
        <f t="shared" ca="1" si="13"/>
        <v>mars</v>
      </c>
      <c r="X81" s="347">
        <f t="shared" ca="1" si="17"/>
        <v>46081</v>
      </c>
      <c r="Y81" s="452" t="str">
        <f t="shared" ca="1" si="14"/>
        <v>Sam. mars , 2026</v>
      </c>
      <c r="Z81" s="143">
        <f t="shared" ca="1" si="4"/>
        <v>31</v>
      </c>
      <c r="AA81" s="348">
        <f t="shared" ca="1" si="5"/>
        <v>3</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Sam</v>
      </c>
      <c r="U82" s="186" t="str">
        <f t="shared" ca="1" si="13"/>
        <v>mars</v>
      </c>
      <c r="X82" s="347">
        <f t="shared" ca="1" si="17"/>
        <v>46081</v>
      </c>
      <c r="Y82" s="452" t="str">
        <f t="shared" ca="1" si="14"/>
        <v>Sam. mars , 2026</v>
      </c>
      <c r="Z82" s="143">
        <f t="shared" ca="1" si="4"/>
        <v>31</v>
      </c>
      <c r="AA82" s="348">
        <f t="shared" ca="1" si="5"/>
        <v>3</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Sam</v>
      </c>
      <c r="U83" s="186" t="str">
        <f t="shared" ca="1" si="13"/>
        <v>mars</v>
      </c>
      <c r="X83" s="347">
        <f t="shared" ca="1" si="17"/>
        <v>46081</v>
      </c>
      <c r="Y83" s="452" t="str">
        <f t="shared" ca="1" si="14"/>
        <v>Sam. mars , 2026</v>
      </c>
      <c r="Z83" s="143">
        <f t="shared" ca="1" si="4"/>
        <v>31</v>
      </c>
      <c r="AA83" s="348">
        <f t="shared" ca="1" si="5"/>
        <v>3</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Sam</v>
      </c>
      <c r="U84" s="186" t="str">
        <f t="shared" ca="1" si="13"/>
        <v>mars</v>
      </c>
      <c r="X84" s="347">
        <f t="shared" ca="1" si="17"/>
        <v>46081</v>
      </c>
      <c r="Y84" s="452" t="str">
        <f t="shared" ca="1" si="14"/>
        <v>Sam. mars , 2026</v>
      </c>
      <c r="Z84" s="143">
        <f t="shared" ref="Z84:Z147" ca="1" si="24">MIN(R84,$AF$5)</f>
        <v>31</v>
      </c>
      <c r="AA84" s="348">
        <f t="shared" ref="AA84:AA147" ca="1" si="25">$AD$6</f>
        <v>3</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Sam</v>
      </c>
      <c r="U85" s="186" t="str">
        <f t="shared" ref="U85:U148" ca="1" si="32">$U$19</f>
        <v>mars</v>
      </c>
      <c r="X85" s="347">
        <f t="shared" ca="1" si="17"/>
        <v>46081</v>
      </c>
      <c r="Y85" s="452" t="str">
        <f t="shared" ref="Y85:Y148" ca="1" si="33">IF(Y79="f",T85&amp;". "&amp;" "&amp;R85&amp;" "&amp;U85&amp;" "&amp;$AE$7,T85&amp;". "&amp;U85&amp;" "&amp;R85&amp;", "&amp;$AE$7)</f>
        <v>Sam. mars , 2026</v>
      </c>
      <c r="Z85" s="143">
        <f t="shared" ca="1" si="24"/>
        <v>31</v>
      </c>
      <c r="AA85" s="348">
        <f t="shared" ca="1" si="25"/>
        <v>3</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Sam</v>
      </c>
      <c r="U86" s="186" t="str">
        <f t="shared" ca="1" si="32"/>
        <v>mars</v>
      </c>
      <c r="X86" s="347">
        <f t="shared" ref="X86:X149" ca="1" si="36">$AE$8+D86</f>
        <v>46081</v>
      </c>
      <c r="Y86" s="452" t="str">
        <f t="shared" ca="1" si="33"/>
        <v>Sam. mars , 2026</v>
      </c>
      <c r="Z86" s="143">
        <f t="shared" ca="1" si="24"/>
        <v>31</v>
      </c>
      <c r="AA86" s="348">
        <f t="shared" ca="1" si="25"/>
        <v>3</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Sam</v>
      </c>
      <c r="U87" s="186" t="str">
        <f t="shared" ca="1" si="32"/>
        <v>mars</v>
      </c>
      <c r="X87" s="347">
        <f t="shared" ca="1" si="36"/>
        <v>46081</v>
      </c>
      <c r="Y87" s="452" t="str">
        <f t="shared" ca="1" si="33"/>
        <v>Sam. mars , 2026</v>
      </c>
      <c r="Z87" s="143">
        <f t="shared" ca="1" si="24"/>
        <v>31</v>
      </c>
      <c r="AA87" s="348">
        <f t="shared" ca="1" si="25"/>
        <v>3</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Sam</v>
      </c>
      <c r="U88" s="186" t="str">
        <f t="shared" ca="1" si="32"/>
        <v>mars</v>
      </c>
      <c r="X88" s="347">
        <f t="shared" ca="1" si="36"/>
        <v>46081</v>
      </c>
      <c r="Y88" s="452" t="str">
        <f t="shared" ca="1" si="33"/>
        <v>Sam. mars , 2026</v>
      </c>
      <c r="Z88" s="143">
        <f t="shared" ca="1" si="24"/>
        <v>31</v>
      </c>
      <c r="AA88" s="348">
        <f t="shared" ca="1" si="25"/>
        <v>3</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Sam</v>
      </c>
      <c r="U89" s="186" t="str">
        <f t="shared" ca="1" si="32"/>
        <v>mars</v>
      </c>
      <c r="X89" s="347">
        <f t="shared" ca="1" si="36"/>
        <v>46081</v>
      </c>
      <c r="Y89" s="452" t="str">
        <f t="shared" ca="1" si="33"/>
        <v>Sam. mars , 2026</v>
      </c>
      <c r="Z89" s="143">
        <f t="shared" ca="1" si="24"/>
        <v>31</v>
      </c>
      <c r="AA89" s="348">
        <f t="shared" ca="1" si="25"/>
        <v>3</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Sam</v>
      </c>
      <c r="U90" s="186" t="str">
        <f t="shared" ca="1" si="32"/>
        <v>mars</v>
      </c>
      <c r="X90" s="347">
        <f t="shared" ca="1" si="36"/>
        <v>46081</v>
      </c>
      <c r="Y90" s="452" t="str">
        <f t="shared" ca="1" si="33"/>
        <v>Sam. mars , 2026</v>
      </c>
      <c r="Z90" s="143">
        <f t="shared" ca="1" si="24"/>
        <v>31</v>
      </c>
      <c r="AA90" s="348">
        <f t="shared" ca="1" si="25"/>
        <v>3</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Sam</v>
      </c>
      <c r="U91" s="186" t="str">
        <f t="shared" ca="1" si="32"/>
        <v>mars</v>
      </c>
      <c r="X91" s="347">
        <f t="shared" ca="1" si="36"/>
        <v>46081</v>
      </c>
      <c r="Y91" s="452" t="str">
        <f t="shared" ca="1" si="33"/>
        <v>Sam. mars , 2026</v>
      </c>
      <c r="Z91" s="143">
        <f t="shared" ca="1" si="24"/>
        <v>31</v>
      </c>
      <c r="AA91" s="348">
        <f t="shared" ca="1" si="25"/>
        <v>3</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Sam</v>
      </c>
      <c r="U92" s="186" t="str">
        <f t="shared" ca="1" si="32"/>
        <v>mars</v>
      </c>
      <c r="X92" s="347">
        <f t="shared" ca="1" si="36"/>
        <v>46081</v>
      </c>
      <c r="Y92" s="452" t="str">
        <f t="shared" ca="1" si="33"/>
        <v>Sam. mars , 2026</v>
      </c>
      <c r="Z92" s="143">
        <f t="shared" ca="1" si="24"/>
        <v>31</v>
      </c>
      <c r="AA92" s="348">
        <f t="shared" ca="1" si="25"/>
        <v>3</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Sam</v>
      </c>
      <c r="U93" s="186" t="str">
        <f t="shared" ca="1" si="32"/>
        <v>mars</v>
      </c>
      <c r="X93" s="347">
        <f t="shared" ca="1" si="36"/>
        <v>46081</v>
      </c>
      <c r="Y93" s="452" t="str">
        <f t="shared" ca="1" si="33"/>
        <v>Sam. mars , 2026</v>
      </c>
      <c r="Z93" s="143">
        <f t="shared" ca="1" si="24"/>
        <v>31</v>
      </c>
      <c r="AA93" s="348">
        <f t="shared" ca="1" si="25"/>
        <v>3</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Sam</v>
      </c>
      <c r="U94" s="186" t="str">
        <f t="shared" ca="1" si="32"/>
        <v>mars</v>
      </c>
      <c r="X94" s="347">
        <f t="shared" ca="1" si="36"/>
        <v>46081</v>
      </c>
      <c r="Y94" s="452" t="str">
        <f t="shared" ca="1" si="33"/>
        <v>Sam. mars , 2026</v>
      </c>
      <c r="Z94" s="143">
        <f t="shared" ca="1" si="24"/>
        <v>31</v>
      </c>
      <c r="AA94" s="348">
        <f t="shared" ca="1" si="25"/>
        <v>3</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Sam</v>
      </c>
      <c r="U95" s="186" t="str">
        <f t="shared" ca="1" si="32"/>
        <v>mars</v>
      </c>
      <c r="X95" s="347">
        <f t="shared" ca="1" si="36"/>
        <v>46081</v>
      </c>
      <c r="Y95" s="452" t="str">
        <f t="shared" ca="1" si="33"/>
        <v>Sam. mars , 2026</v>
      </c>
      <c r="Z95" s="143">
        <f t="shared" ca="1" si="24"/>
        <v>31</v>
      </c>
      <c r="AA95" s="348">
        <f t="shared" ca="1" si="25"/>
        <v>3</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Sam</v>
      </c>
      <c r="U96" s="186" t="str">
        <f t="shared" ca="1" si="32"/>
        <v>mars</v>
      </c>
      <c r="X96" s="347">
        <f t="shared" ca="1" si="36"/>
        <v>46081</v>
      </c>
      <c r="Y96" s="452" t="str">
        <f t="shared" ca="1" si="33"/>
        <v>Sam. mars , 2026</v>
      </c>
      <c r="Z96" s="143">
        <f t="shared" ca="1" si="24"/>
        <v>31</v>
      </c>
      <c r="AA96" s="348">
        <f t="shared" ca="1" si="25"/>
        <v>3</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Sam</v>
      </c>
      <c r="U97" s="186" t="str">
        <f t="shared" ca="1" si="32"/>
        <v>mars</v>
      </c>
      <c r="X97" s="347">
        <f t="shared" ca="1" si="36"/>
        <v>46081</v>
      </c>
      <c r="Y97" s="452" t="str">
        <f t="shared" ca="1" si="33"/>
        <v>Sam. mars , 2026</v>
      </c>
      <c r="Z97" s="143">
        <f t="shared" ca="1" si="24"/>
        <v>31</v>
      </c>
      <c r="AA97" s="348">
        <f t="shared" ca="1" si="25"/>
        <v>3</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Sam</v>
      </c>
      <c r="U98" s="186" t="str">
        <f t="shared" ca="1" si="32"/>
        <v>mars</v>
      </c>
      <c r="X98" s="347">
        <f t="shared" ca="1" si="36"/>
        <v>46081</v>
      </c>
      <c r="Y98" s="452" t="str">
        <f t="shared" ca="1" si="33"/>
        <v>Sam. mars , 2026</v>
      </c>
      <c r="Z98" s="143">
        <f t="shared" ca="1" si="24"/>
        <v>31</v>
      </c>
      <c r="AA98" s="348">
        <f t="shared" ca="1" si="25"/>
        <v>3</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Sam</v>
      </c>
      <c r="U99" s="186" t="str">
        <f t="shared" ca="1" si="32"/>
        <v>mars</v>
      </c>
      <c r="X99" s="347">
        <f t="shared" ca="1" si="36"/>
        <v>46081</v>
      </c>
      <c r="Y99" s="452" t="str">
        <f t="shared" ca="1" si="33"/>
        <v>Sam. mars , 2026</v>
      </c>
      <c r="Z99" s="143">
        <f t="shared" ca="1" si="24"/>
        <v>31</v>
      </c>
      <c r="AA99" s="348">
        <f t="shared" ca="1" si="25"/>
        <v>3</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Sam</v>
      </c>
      <c r="U100" s="186" t="str">
        <f t="shared" ca="1" si="32"/>
        <v>mars</v>
      </c>
      <c r="X100" s="347">
        <f t="shared" ca="1" si="36"/>
        <v>46081</v>
      </c>
      <c r="Y100" s="452" t="str">
        <f t="shared" ca="1" si="33"/>
        <v>Sam. mars , 2026</v>
      </c>
      <c r="Z100" s="143">
        <f t="shared" ca="1" si="24"/>
        <v>31</v>
      </c>
      <c r="AA100" s="348">
        <f t="shared" ca="1" si="25"/>
        <v>3</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Sam</v>
      </c>
      <c r="U101" s="186" t="str">
        <f t="shared" ca="1" si="32"/>
        <v>mars</v>
      </c>
      <c r="X101" s="347">
        <f t="shared" ca="1" si="36"/>
        <v>46081</v>
      </c>
      <c r="Y101" s="452" t="str">
        <f t="shared" ca="1" si="33"/>
        <v>Sam. mars , 2026</v>
      </c>
      <c r="Z101" s="143">
        <f t="shared" ca="1" si="24"/>
        <v>31</v>
      </c>
      <c r="AA101" s="348">
        <f t="shared" ca="1" si="25"/>
        <v>3</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Sam</v>
      </c>
      <c r="U102" s="186" t="str">
        <f t="shared" ca="1" si="32"/>
        <v>mars</v>
      </c>
      <c r="X102" s="347">
        <f t="shared" ca="1" si="36"/>
        <v>46081</v>
      </c>
      <c r="Y102" s="452" t="str">
        <f t="shared" ca="1" si="33"/>
        <v>Sam. mars , 2026</v>
      </c>
      <c r="Z102" s="143">
        <f t="shared" ca="1" si="24"/>
        <v>31</v>
      </c>
      <c r="AA102" s="348">
        <f t="shared" ca="1" si="25"/>
        <v>3</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Sam</v>
      </c>
      <c r="U103" s="186" t="str">
        <f t="shared" ca="1" si="32"/>
        <v>mars</v>
      </c>
      <c r="X103" s="347">
        <f t="shared" ca="1" si="36"/>
        <v>46081</v>
      </c>
      <c r="Y103" s="452" t="str">
        <f t="shared" ca="1" si="33"/>
        <v>Sam. mars , 2026</v>
      </c>
      <c r="Z103" s="143">
        <f t="shared" ca="1" si="24"/>
        <v>31</v>
      </c>
      <c r="AA103" s="348">
        <f t="shared" ca="1" si="25"/>
        <v>3</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Sam</v>
      </c>
      <c r="U104" s="186" t="str">
        <f t="shared" ca="1" si="32"/>
        <v>mars</v>
      </c>
      <c r="X104" s="347">
        <f t="shared" ca="1" si="36"/>
        <v>46081</v>
      </c>
      <c r="Y104" s="452" t="str">
        <f t="shared" ca="1" si="33"/>
        <v>Sam. mars , 2026</v>
      </c>
      <c r="Z104" s="143">
        <f t="shared" ca="1" si="24"/>
        <v>31</v>
      </c>
      <c r="AA104" s="348">
        <f t="shared" ca="1" si="25"/>
        <v>3</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Sam</v>
      </c>
      <c r="U105" s="186" t="str">
        <f t="shared" ca="1" si="32"/>
        <v>mars</v>
      </c>
      <c r="X105" s="347">
        <f t="shared" ca="1" si="36"/>
        <v>46081</v>
      </c>
      <c r="Y105" s="452" t="str">
        <f t="shared" ca="1" si="33"/>
        <v>Sam. mars , 2026</v>
      </c>
      <c r="Z105" s="143">
        <f t="shared" ca="1" si="24"/>
        <v>31</v>
      </c>
      <c r="AA105" s="348">
        <f t="shared" ca="1" si="25"/>
        <v>3</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Sam</v>
      </c>
      <c r="U106" s="186" t="str">
        <f t="shared" ca="1" si="32"/>
        <v>mars</v>
      </c>
      <c r="X106" s="347">
        <f t="shared" ca="1" si="36"/>
        <v>46081</v>
      </c>
      <c r="Y106" s="452" t="str">
        <f t="shared" ca="1" si="33"/>
        <v>Sam. mars , 2026</v>
      </c>
      <c r="Z106" s="143">
        <f t="shared" ca="1" si="24"/>
        <v>31</v>
      </c>
      <c r="AA106" s="348">
        <f t="shared" ca="1" si="25"/>
        <v>3</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Sam</v>
      </c>
      <c r="U107" s="186" t="str">
        <f t="shared" ca="1" si="32"/>
        <v>mars</v>
      </c>
      <c r="X107" s="347">
        <f t="shared" ca="1" si="36"/>
        <v>46081</v>
      </c>
      <c r="Y107" s="452" t="str">
        <f t="shared" ca="1" si="33"/>
        <v>Sam. mars , 2026</v>
      </c>
      <c r="Z107" s="143">
        <f t="shared" ca="1" si="24"/>
        <v>31</v>
      </c>
      <c r="AA107" s="348">
        <f t="shared" ca="1" si="25"/>
        <v>3</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Sam</v>
      </c>
      <c r="U108" s="186" t="str">
        <f t="shared" ca="1" si="32"/>
        <v>mars</v>
      </c>
      <c r="X108" s="347">
        <f t="shared" ca="1" si="36"/>
        <v>46081</v>
      </c>
      <c r="Y108" s="452" t="str">
        <f t="shared" ca="1" si="33"/>
        <v>Sam. mars , 2026</v>
      </c>
      <c r="Z108" s="143">
        <f t="shared" ca="1" si="24"/>
        <v>31</v>
      </c>
      <c r="AA108" s="348">
        <f t="shared" ca="1" si="25"/>
        <v>3</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Sam</v>
      </c>
      <c r="U109" s="186" t="str">
        <f t="shared" ca="1" si="32"/>
        <v>mars</v>
      </c>
      <c r="X109" s="347">
        <f t="shared" ca="1" si="36"/>
        <v>46081</v>
      </c>
      <c r="Y109" s="452" t="str">
        <f t="shared" ca="1" si="33"/>
        <v>Sam. mars , 2026</v>
      </c>
      <c r="Z109" s="143">
        <f t="shared" ca="1" si="24"/>
        <v>31</v>
      </c>
      <c r="AA109" s="348">
        <f t="shared" ca="1" si="25"/>
        <v>3</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Sam</v>
      </c>
      <c r="U110" s="186" t="str">
        <f t="shared" ca="1" si="32"/>
        <v>mars</v>
      </c>
      <c r="X110" s="347">
        <f t="shared" ca="1" si="36"/>
        <v>46081</v>
      </c>
      <c r="Y110" s="452" t="str">
        <f t="shared" ca="1" si="33"/>
        <v>Sam. mars , 2026</v>
      </c>
      <c r="Z110" s="143">
        <f t="shared" ca="1" si="24"/>
        <v>31</v>
      </c>
      <c r="AA110" s="348">
        <f t="shared" ca="1" si="25"/>
        <v>3</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Sam</v>
      </c>
      <c r="U111" s="186" t="str">
        <f t="shared" ca="1" si="32"/>
        <v>mars</v>
      </c>
      <c r="X111" s="347">
        <f t="shared" ca="1" si="36"/>
        <v>46081</v>
      </c>
      <c r="Y111" s="452" t="str">
        <f t="shared" ca="1" si="33"/>
        <v>Sam. mars , 2026</v>
      </c>
      <c r="Z111" s="143">
        <f t="shared" ca="1" si="24"/>
        <v>31</v>
      </c>
      <c r="AA111" s="348">
        <f t="shared" ca="1" si="25"/>
        <v>3</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Sam</v>
      </c>
      <c r="U112" s="186" t="str">
        <f t="shared" ca="1" si="32"/>
        <v>mars</v>
      </c>
      <c r="X112" s="347">
        <f t="shared" ca="1" si="36"/>
        <v>46081</v>
      </c>
      <c r="Y112" s="452" t="str">
        <f t="shared" ca="1" si="33"/>
        <v>Sam. mars , 2026</v>
      </c>
      <c r="Z112" s="143">
        <f t="shared" ca="1" si="24"/>
        <v>31</v>
      </c>
      <c r="AA112" s="348">
        <f t="shared" ca="1" si="25"/>
        <v>3</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Sam</v>
      </c>
      <c r="U113" s="186" t="str">
        <f t="shared" ca="1" si="32"/>
        <v>mars</v>
      </c>
      <c r="X113" s="347">
        <f t="shared" ca="1" si="36"/>
        <v>46081</v>
      </c>
      <c r="Y113" s="452" t="str">
        <f t="shared" ca="1" si="33"/>
        <v>Sam. mars , 2026</v>
      </c>
      <c r="Z113" s="143">
        <f t="shared" ca="1" si="24"/>
        <v>31</v>
      </c>
      <c r="AA113" s="348">
        <f t="shared" ca="1" si="25"/>
        <v>3</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Sam</v>
      </c>
      <c r="U114" s="186" t="str">
        <f t="shared" ca="1" si="32"/>
        <v>mars</v>
      </c>
      <c r="X114" s="347">
        <f t="shared" ca="1" si="36"/>
        <v>46081</v>
      </c>
      <c r="Y114" s="452" t="str">
        <f t="shared" ca="1" si="33"/>
        <v>Sam. mars , 2026</v>
      </c>
      <c r="Z114" s="143">
        <f t="shared" ca="1" si="24"/>
        <v>31</v>
      </c>
      <c r="AA114" s="348">
        <f t="shared" ca="1" si="25"/>
        <v>3</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Sam</v>
      </c>
      <c r="U115" s="186" t="str">
        <f t="shared" ca="1" si="32"/>
        <v>mars</v>
      </c>
      <c r="X115" s="347">
        <f t="shared" ca="1" si="36"/>
        <v>46081</v>
      </c>
      <c r="Y115" s="452" t="str">
        <f t="shared" ca="1" si="33"/>
        <v>Sam. mars , 2026</v>
      </c>
      <c r="Z115" s="143">
        <f t="shared" ca="1" si="24"/>
        <v>31</v>
      </c>
      <c r="AA115" s="348">
        <f t="shared" ca="1" si="25"/>
        <v>3</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Sam</v>
      </c>
      <c r="U116" s="186" t="str">
        <f t="shared" ca="1" si="32"/>
        <v>mars</v>
      </c>
      <c r="X116" s="347">
        <f t="shared" ca="1" si="36"/>
        <v>46081</v>
      </c>
      <c r="Y116" s="452" t="str">
        <f t="shared" ca="1" si="33"/>
        <v>Sam. mars , 2026</v>
      </c>
      <c r="Z116" s="143">
        <f t="shared" ca="1" si="24"/>
        <v>31</v>
      </c>
      <c r="AA116" s="348">
        <f t="shared" ca="1" si="25"/>
        <v>3</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Sam</v>
      </c>
      <c r="U117" s="186" t="str">
        <f t="shared" ca="1" si="32"/>
        <v>mars</v>
      </c>
      <c r="X117" s="347">
        <f t="shared" ca="1" si="36"/>
        <v>46081</v>
      </c>
      <c r="Y117" s="452" t="str">
        <f t="shared" ca="1" si="33"/>
        <v>Sam. mars , 2026</v>
      </c>
      <c r="Z117" s="143">
        <f t="shared" ca="1" si="24"/>
        <v>31</v>
      </c>
      <c r="AA117" s="348">
        <f t="shared" ca="1" si="25"/>
        <v>3</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Sam</v>
      </c>
      <c r="U118" s="186" t="str">
        <f t="shared" ca="1" si="32"/>
        <v>mars</v>
      </c>
      <c r="X118" s="347">
        <f t="shared" ca="1" si="36"/>
        <v>46081</v>
      </c>
      <c r="Y118" s="452" t="str">
        <f t="shared" ca="1" si="33"/>
        <v>Sam. mars , 2026</v>
      </c>
      <c r="Z118" s="143">
        <f t="shared" ca="1" si="24"/>
        <v>31</v>
      </c>
      <c r="AA118" s="348">
        <f t="shared" ca="1" si="25"/>
        <v>3</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Sam</v>
      </c>
      <c r="U119" s="186" t="str">
        <f t="shared" ca="1" si="32"/>
        <v>mars</v>
      </c>
      <c r="X119" s="347">
        <f t="shared" ca="1" si="36"/>
        <v>46081</v>
      </c>
      <c r="Y119" s="452" t="str">
        <f t="shared" ca="1" si="33"/>
        <v>Sam. mars , 2026</v>
      </c>
      <c r="Z119" s="143">
        <f t="shared" ca="1" si="24"/>
        <v>31</v>
      </c>
      <c r="AA119" s="348">
        <f t="shared" ca="1" si="25"/>
        <v>3</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Sam</v>
      </c>
      <c r="U120" s="186" t="str">
        <f t="shared" ca="1" si="32"/>
        <v>mars</v>
      </c>
      <c r="X120" s="347">
        <f t="shared" ca="1" si="36"/>
        <v>46081</v>
      </c>
      <c r="Y120" s="452" t="str">
        <f t="shared" ca="1" si="33"/>
        <v>Sam. mars , 2026</v>
      </c>
      <c r="Z120" s="143">
        <f t="shared" ca="1" si="24"/>
        <v>31</v>
      </c>
      <c r="AA120" s="348">
        <f t="shared" ca="1" si="25"/>
        <v>3</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Sam</v>
      </c>
      <c r="U121" s="186" t="str">
        <f t="shared" ca="1" si="32"/>
        <v>mars</v>
      </c>
      <c r="X121" s="347">
        <f t="shared" ca="1" si="36"/>
        <v>46081</v>
      </c>
      <c r="Y121" s="452" t="str">
        <f t="shared" ca="1" si="33"/>
        <v>Sam. mars , 2026</v>
      </c>
      <c r="Z121" s="143">
        <f t="shared" ca="1" si="24"/>
        <v>31</v>
      </c>
      <c r="AA121" s="348">
        <f t="shared" ca="1" si="25"/>
        <v>3</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Sam</v>
      </c>
      <c r="U122" s="186" t="str">
        <f t="shared" ca="1" si="32"/>
        <v>mars</v>
      </c>
      <c r="X122" s="347">
        <f t="shared" ca="1" si="36"/>
        <v>46081</v>
      </c>
      <c r="Y122" s="452" t="str">
        <f t="shared" ca="1" si="33"/>
        <v>Sam. mars , 2026</v>
      </c>
      <c r="Z122" s="143">
        <f t="shared" ca="1" si="24"/>
        <v>31</v>
      </c>
      <c r="AA122" s="348">
        <f t="shared" ca="1" si="25"/>
        <v>3</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Sam</v>
      </c>
      <c r="U123" s="186" t="str">
        <f t="shared" ca="1" si="32"/>
        <v>mars</v>
      </c>
      <c r="X123" s="347">
        <f t="shared" ca="1" si="36"/>
        <v>46081</v>
      </c>
      <c r="Y123" s="452" t="str">
        <f t="shared" ca="1" si="33"/>
        <v>Sam. mars , 2026</v>
      </c>
      <c r="Z123" s="143">
        <f t="shared" ca="1" si="24"/>
        <v>31</v>
      </c>
      <c r="AA123" s="348">
        <f t="shared" ca="1" si="25"/>
        <v>3</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Sam</v>
      </c>
      <c r="U124" s="186" t="str">
        <f t="shared" ca="1" si="32"/>
        <v>mars</v>
      </c>
      <c r="X124" s="347">
        <f t="shared" ca="1" si="36"/>
        <v>46081</v>
      </c>
      <c r="Y124" s="452" t="str">
        <f t="shared" ca="1" si="33"/>
        <v>Sam. mars , 2026</v>
      </c>
      <c r="Z124" s="143">
        <f t="shared" ca="1" si="24"/>
        <v>31</v>
      </c>
      <c r="AA124" s="348">
        <f t="shared" ca="1" si="25"/>
        <v>3</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Sam</v>
      </c>
      <c r="U125" s="186" t="str">
        <f t="shared" ca="1" si="32"/>
        <v>mars</v>
      </c>
      <c r="X125" s="347">
        <f t="shared" ca="1" si="36"/>
        <v>46081</v>
      </c>
      <c r="Y125" s="452" t="str">
        <f t="shared" ca="1" si="33"/>
        <v>Sam. mars , 2026</v>
      </c>
      <c r="Z125" s="143">
        <f t="shared" ca="1" si="24"/>
        <v>31</v>
      </c>
      <c r="AA125" s="348">
        <f t="shared" ca="1" si="25"/>
        <v>3</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Sam</v>
      </c>
      <c r="U126" s="186" t="str">
        <f t="shared" ca="1" si="32"/>
        <v>mars</v>
      </c>
      <c r="X126" s="347">
        <f t="shared" ca="1" si="36"/>
        <v>46081</v>
      </c>
      <c r="Y126" s="452" t="str">
        <f t="shared" ca="1" si="33"/>
        <v>Sam. mars , 2026</v>
      </c>
      <c r="Z126" s="143">
        <f t="shared" ca="1" si="24"/>
        <v>31</v>
      </c>
      <c r="AA126" s="348">
        <f t="shared" ca="1" si="25"/>
        <v>3</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Sam</v>
      </c>
      <c r="U127" s="186" t="str">
        <f t="shared" ca="1" si="32"/>
        <v>mars</v>
      </c>
      <c r="X127" s="347">
        <f t="shared" ca="1" si="36"/>
        <v>46081</v>
      </c>
      <c r="Y127" s="452" t="str">
        <f t="shared" ca="1" si="33"/>
        <v>Sam. mars , 2026</v>
      </c>
      <c r="Z127" s="143">
        <f t="shared" ca="1" si="24"/>
        <v>31</v>
      </c>
      <c r="AA127" s="348">
        <f t="shared" ca="1" si="25"/>
        <v>3</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Sam</v>
      </c>
      <c r="U128" s="186" t="str">
        <f t="shared" ca="1" si="32"/>
        <v>mars</v>
      </c>
      <c r="X128" s="347">
        <f t="shared" ca="1" si="36"/>
        <v>46081</v>
      </c>
      <c r="Y128" s="452" t="str">
        <f t="shared" ca="1" si="33"/>
        <v>Sam. mars , 2026</v>
      </c>
      <c r="Z128" s="143">
        <f t="shared" ca="1" si="24"/>
        <v>31</v>
      </c>
      <c r="AA128" s="348">
        <f t="shared" ca="1" si="25"/>
        <v>3</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Sam</v>
      </c>
      <c r="U129" s="186" t="str">
        <f t="shared" ca="1" si="32"/>
        <v>mars</v>
      </c>
      <c r="X129" s="347">
        <f t="shared" ca="1" si="36"/>
        <v>46081</v>
      </c>
      <c r="Y129" s="452" t="str">
        <f t="shared" ca="1" si="33"/>
        <v>Sam. mars , 2026</v>
      </c>
      <c r="Z129" s="143">
        <f t="shared" ca="1" si="24"/>
        <v>31</v>
      </c>
      <c r="AA129" s="348">
        <f t="shared" ca="1" si="25"/>
        <v>3</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Sam</v>
      </c>
      <c r="U130" s="186" t="str">
        <f t="shared" ca="1" si="32"/>
        <v>mars</v>
      </c>
      <c r="X130" s="347">
        <f t="shared" ca="1" si="36"/>
        <v>46081</v>
      </c>
      <c r="Y130" s="452" t="str">
        <f t="shared" ca="1" si="33"/>
        <v>Sam. mars , 2026</v>
      </c>
      <c r="Z130" s="143">
        <f t="shared" ca="1" si="24"/>
        <v>31</v>
      </c>
      <c r="AA130" s="348">
        <f t="shared" ca="1" si="25"/>
        <v>3</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Sam</v>
      </c>
      <c r="U131" s="186" t="str">
        <f t="shared" ca="1" si="32"/>
        <v>mars</v>
      </c>
      <c r="X131" s="347">
        <f t="shared" ca="1" si="36"/>
        <v>46081</v>
      </c>
      <c r="Y131" s="452" t="str">
        <f t="shared" ca="1" si="33"/>
        <v>Sam. mars , 2026</v>
      </c>
      <c r="Z131" s="143">
        <f t="shared" ca="1" si="24"/>
        <v>31</v>
      </c>
      <c r="AA131" s="348">
        <f t="shared" ca="1" si="25"/>
        <v>3</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Sam</v>
      </c>
      <c r="U132" s="186" t="str">
        <f t="shared" ca="1" si="32"/>
        <v>mars</v>
      </c>
      <c r="X132" s="347">
        <f t="shared" ca="1" si="36"/>
        <v>46081</v>
      </c>
      <c r="Y132" s="452" t="str">
        <f t="shared" ca="1" si="33"/>
        <v>Sam. mars , 2026</v>
      </c>
      <c r="Z132" s="143">
        <f t="shared" ca="1" si="24"/>
        <v>31</v>
      </c>
      <c r="AA132" s="348">
        <f t="shared" ca="1" si="25"/>
        <v>3</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Sam</v>
      </c>
      <c r="U133" s="186" t="str">
        <f t="shared" ca="1" si="32"/>
        <v>mars</v>
      </c>
      <c r="X133" s="347">
        <f t="shared" ca="1" si="36"/>
        <v>46081</v>
      </c>
      <c r="Y133" s="452" t="str">
        <f t="shared" ca="1" si="33"/>
        <v>Sam. mars , 2026</v>
      </c>
      <c r="Z133" s="143">
        <f t="shared" ca="1" si="24"/>
        <v>31</v>
      </c>
      <c r="AA133" s="348">
        <f t="shared" ca="1" si="25"/>
        <v>3</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Sam</v>
      </c>
      <c r="U134" s="186" t="str">
        <f t="shared" ca="1" si="32"/>
        <v>mars</v>
      </c>
      <c r="X134" s="347">
        <f t="shared" ca="1" si="36"/>
        <v>46081</v>
      </c>
      <c r="Y134" s="452" t="str">
        <f t="shared" ca="1" si="33"/>
        <v>Sam. mars , 2026</v>
      </c>
      <c r="Z134" s="143">
        <f t="shared" ca="1" si="24"/>
        <v>31</v>
      </c>
      <c r="AA134" s="348">
        <f t="shared" ca="1" si="25"/>
        <v>3</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Sam</v>
      </c>
      <c r="U135" s="186" t="str">
        <f t="shared" ca="1" si="32"/>
        <v>mars</v>
      </c>
      <c r="X135" s="347">
        <f t="shared" ca="1" si="36"/>
        <v>46081</v>
      </c>
      <c r="Y135" s="452" t="str">
        <f t="shared" ca="1" si="33"/>
        <v>Sam. mars , 2026</v>
      </c>
      <c r="Z135" s="143">
        <f t="shared" ca="1" si="24"/>
        <v>31</v>
      </c>
      <c r="AA135" s="348">
        <f t="shared" ca="1" si="25"/>
        <v>3</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Sam</v>
      </c>
      <c r="U136" s="186" t="str">
        <f t="shared" ca="1" si="32"/>
        <v>mars</v>
      </c>
      <c r="X136" s="347">
        <f t="shared" ca="1" si="36"/>
        <v>46081</v>
      </c>
      <c r="Y136" s="452" t="str">
        <f t="shared" ca="1" si="33"/>
        <v>Sam. mars , 2026</v>
      </c>
      <c r="Z136" s="143">
        <f t="shared" ca="1" si="24"/>
        <v>31</v>
      </c>
      <c r="AA136" s="348">
        <f t="shared" ca="1" si="25"/>
        <v>3</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Sam</v>
      </c>
      <c r="U137" s="186" t="str">
        <f t="shared" ca="1" si="32"/>
        <v>mars</v>
      </c>
      <c r="X137" s="347">
        <f t="shared" ca="1" si="36"/>
        <v>46081</v>
      </c>
      <c r="Y137" s="452" t="str">
        <f t="shared" ca="1" si="33"/>
        <v>Sam. mars , 2026</v>
      </c>
      <c r="Z137" s="143">
        <f t="shared" ca="1" si="24"/>
        <v>31</v>
      </c>
      <c r="AA137" s="348">
        <f t="shared" ca="1" si="25"/>
        <v>3</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Sam</v>
      </c>
      <c r="U138" s="186" t="str">
        <f t="shared" ca="1" si="32"/>
        <v>mars</v>
      </c>
      <c r="X138" s="347">
        <f t="shared" ca="1" si="36"/>
        <v>46081</v>
      </c>
      <c r="Y138" s="452" t="str">
        <f t="shared" ca="1" si="33"/>
        <v>Sam. mars , 2026</v>
      </c>
      <c r="Z138" s="143">
        <f t="shared" ca="1" si="24"/>
        <v>31</v>
      </c>
      <c r="AA138" s="348">
        <f t="shared" ca="1" si="25"/>
        <v>3</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Sam</v>
      </c>
      <c r="U139" s="186" t="str">
        <f t="shared" ca="1" si="32"/>
        <v>mars</v>
      </c>
      <c r="X139" s="347">
        <f t="shared" ca="1" si="36"/>
        <v>46081</v>
      </c>
      <c r="Y139" s="452" t="str">
        <f t="shared" ca="1" si="33"/>
        <v>Sam. mars , 2026</v>
      </c>
      <c r="Z139" s="143">
        <f t="shared" ca="1" si="24"/>
        <v>31</v>
      </c>
      <c r="AA139" s="348">
        <f t="shared" ca="1" si="25"/>
        <v>3</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Sam</v>
      </c>
      <c r="U140" s="186" t="str">
        <f t="shared" ca="1" si="32"/>
        <v>mars</v>
      </c>
      <c r="X140" s="347">
        <f t="shared" ca="1" si="36"/>
        <v>46081</v>
      </c>
      <c r="Y140" s="452" t="str">
        <f t="shared" ca="1" si="33"/>
        <v>Sam. mars , 2026</v>
      </c>
      <c r="Z140" s="143">
        <f t="shared" ca="1" si="24"/>
        <v>31</v>
      </c>
      <c r="AA140" s="348">
        <f t="shared" ca="1" si="25"/>
        <v>3</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Sam</v>
      </c>
      <c r="U141" s="186" t="str">
        <f t="shared" ca="1" si="32"/>
        <v>mars</v>
      </c>
      <c r="X141" s="347">
        <f t="shared" ca="1" si="36"/>
        <v>46081</v>
      </c>
      <c r="Y141" s="452" t="str">
        <f t="shared" ca="1" si="33"/>
        <v>Sam. mars , 2026</v>
      </c>
      <c r="Z141" s="143">
        <f t="shared" ca="1" si="24"/>
        <v>31</v>
      </c>
      <c r="AA141" s="348">
        <f t="shared" ca="1" si="25"/>
        <v>3</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Sam</v>
      </c>
      <c r="U142" s="186" t="str">
        <f t="shared" ca="1" si="32"/>
        <v>mars</v>
      </c>
      <c r="X142" s="347">
        <f t="shared" ca="1" si="36"/>
        <v>46081</v>
      </c>
      <c r="Y142" s="452" t="str">
        <f t="shared" ca="1" si="33"/>
        <v>Sam. mars , 2026</v>
      </c>
      <c r="Z142" s="143">
        <f t="shared" ca="1" si="24"/>
        <v>31</v>
      </c>
      <c r="AA142" s="348">
        <f t="shared" ca="1" si="25"/>
        <v>3</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Sam</v>
      </c>
      <c r="U143" s="186" t="str">
        <f t="shared" ca="1" si="32"/>
        <v>mars</v>
      </c>
      <c r="X143" s="347">
        <f t="shared" ca="1" si="36"/>
        <v>46081</v>
      </c>
      <c r="Y143" s="452" t="str">
        <f t="shared" ca="1" si="33"/>
        <v>Sam. mars , 2026</v>
      </c>
      <c r="Z143" s="143">
        <f t="shared" ca="1" si="24"/>
        <v>31</v>
      </c>
      <c r="AA143" s="348">
        <f t="shared" ca="1" si="25"/>
        <v>3</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Sam</v>
      </c>
      <c r="U144" s="186" t="str">
        <f t="shared" ca="1" si="32"/>
        <v>mars</v>
      </c>
      <c r="X144" s="347">
        <f t="shared" ca="1" si="36"/>
        <v>46081</v>
      </c>
      <c r="Y144" s="452" t="str">
        <f t="shared" ca="1" si="33"/>
        <v>Sam. mars , 2026</v>
      </c>
      <c r="Z144" s="143">
        <f t="shared" ca="1" si="24"/>
        <v>31</v>
      </c>
      <c r="AA144" s="348">
        <f t="shared" ca="1" si="25"/>
        <v>3</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Sam</v>
      </c>
      <c r="U145" s="186" t="str">
        <f t="shared" ca="1" si="32"/>
        <v>mars</v>
      </c>
      <c r="X145" s="347">
        <f t="shared" ca="1" si="36"/>
        <v>46081</v>
      </c>
      <c r="Y145" s="452" t="str">
        <f t="shared" ca="1" si="33"/>
        <v>Sam. mars , 2026</v>
      </c>
      <c r="Z145" s="143">
        <f t="shared" ca="1" si="24"/>
        <v>31</v>
      </c>
      <c r="AA145" s="348">
        <f t="shared" ca="1" si="25"/>
        <v>3</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Sam</v>
      </c>
      <c r="U146" s="186" t="str">
        <f t="shared" ca="1" si="32"/>
        <v>mars</v>
      </c>
      <c r="X146" s="347">
        <f t="shared" ca="1" si="36"/>
        <v>46081</v>
      </c>
      <c r="Y146" s="452" t="str">
        <f t="shared" ca="1" si="33"/>
        <v>Sam. mars , 2026</v>
      </c>
      <c r="Z146" s="143">
        <f t="shared" ca="1" si="24"/>
        <v>31</v>
      </c>
      <c r="AA146" s="348">
        <f t="shared" ca="1" si="25"/>
        <v>3</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Sam</v>
      </c>
      <c r="U147" s="186" t="str">
        <f t="shared" ca="1" si="32"/>
        <v>mars</v>
      </c>
      <c r="X147" s="347">
        <f t="shared" ca="1" si="36"/>
        <v>46081</v>
      </c>
      <c r="Y147" s="452" t="str">
        <f t="shared" ca="1" si="33"/>
        <v>Sam. mars , 2026</v>
      </c>
      <c r="Z147" s="143">
        <f t="shared" ca="1" si="24"/>
        <v>31</v>
      </c>
      <c r="AA147" s="348">
        <f t="shared" ca="1" si="25"/>
        <v>3</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Sam</v>
      </c>
      <c r="U148" s="186" t="str">
        <f t="shared" ca="1" si="32"/>
        <v>mars</v>
      </c>
      <c r="X148" s="347">
        <f t="shared" ca="1" si="36"/>
        <v>46081</v>
      </c>
      <c r="Y148" s="452" t="str">
        <f t="shared" ca="1" si="33"/>
        <v>Sam. mars , 2026</v>
      </c>
      <c r="Z148" s="143">
        <f t="shared" ref="Z148:Z194" ca="1" si="43">MIN(R148,$AF$5)</f>
        <v>31</v>
      </c>
      <c r="AA148" s="348">
        <f t="shared" ref="AA148:AA194" ca="1" si="44">$AD$6</f>
        <v>3</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Sam</v>
      </c>
      <c r="U149" s="186" t="str">
        <f t="shared" ref="U149:U194" ca="1" si="51">$U$19</f>
        <v>mars</v>
      </c>
      <c r="X149" s="347">
        <f t="shared" ca="1" si="36"/>
        <v>46081</v>
      </c>
      <c r="Y149" s="452" t="str">
        <f t="shared" ref="Y149:Y194" ca="1" si="52">IF(Y143="f",T149&amp;". "&amp;" "&amp;R149&amp;" "&amp;U149&amp;" "&amp;$AE$7,T149&amp;". "&amp;U149&amp;" "&amp;R149&amp;", "&amp;$AE$7)</f>
        <v>Sam. mars , 2026</v>
      </c>
      <c r="Z149" s="143">
        <f t="shared" ca="1" si="43"/>
        <v>31</v>
      </c>
      <c r="AA149" s="348">
        <f t="shared" ca="1" si="44"/>
        <v>3</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Sam</v>
      </c>
      <c r="U150" s="186" t="str">
        <f t="shared" ca="1" si="51"/>
        <v>mars</v>
      </c>
      <c r="X150" s="347">
        <f t="shared" ref="X150:X194" ca="1" si="55">$AE$8+D150</f>
        <v>46081</v>
      </c>
      <c r="Y150" s="452" t="str">
        <f t="shared" ca="1" si="52"/>
        <v>Sam. mars , 2026</v>
      </c>
      <c r="Z150" s="143">
        <f t="shared" ca="1" si="43"/>
        <v>31</v>
      </c>
      <c r="AA150" s="348">
        <f t="shared" ca="1" si="44"/>
        <v>3</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Sam</v>
      </c>
      <c r="U151" s="186" t="str">
        <f t="shared" ca="1" si="51"/>
        <v>mars</v>
      </c>
      <c r="X151" s="347">
        <f t="shared" ca="1" si="55"/>
        <v>46081</v>
      </c>
      <c r="Y151" s="452" t="str">
        <f t="shared" ca="1" si="52"/>
        <v>Sam. mars , 2026</v>
      </c>
      <c r="Z151" s="143">
        <f t="shared" ca="1" si="43"/>
        <v>31</v>
      </c>
      <c r="AA151" s="348">
        <f t="shared" ca="1" si="44"/>
        <v>3</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Sam</v>
      </c>
      <c r="U152" s="186" t="str">
        <f t="shared" ca="1" si="51"/>
        <v>mars</v>
      </c>
      <c r="X152" s="347">
        <f t="shared" ca="1" si="55"/>
        <v>46081</v>
      </c>
      <c r="Y152" s="452" t="str">
        <f t="shared" ca="1" si="52"/>
        <v>Sam. mars , 2026</v>
      </c>
      <c r="Z152" s="143">
        <f t="shared" ca="1" si="43"/>
        <v>31</v>
      </c>
      <c r="AA152" s="348">
        <f t="shared" ca="1" si="44"/>
        <v>3</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Sam</v>
      </c>
      <c r="U153" s="186" t="str">
        <f t="shared" ca="1" si="51"/>
        <v>mars</v>
      </c>
      <c r="X153" s="347">
        <f t="shared" ca="1" si="55"/>
        <v>46081</v>
      </c>
      <c r="Y153" s="452" t="str">
        <f t="shared" ca="1" si="52"/>
        <v>Sam. mars , 2026</v>
      </c>
      <c r="Z153" s="143">
        <f t="shared" ca="1" si="43"/>
        <v>31</v>
      </c>
      <c r="AA153" s="348">
        <f t="shared" ca="1" si="44"/>
        <v>3</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Sam</v>
      </c>
      <c r="U154" s="186" t="str">
        <f t="shared" ca="1" si="51"/>
        <v>mars</v>
      </c>
      <c r="X154" s="347">
        <f t="shared" ca="1" si="55"/>
        <v>46081</v>
      </c>
      <c r="Y154" s="452" t="str">
        <f t="shared" ca="1" si="52"/>
        <v>Sam. mars , 2026</v>
      </c>
      <c r="Z154" s="143">
        <f t="shared" ca="1" si="43"/>
        <v>31</v>
      </c>
      <c r="AA154" s="348">
        <f t="shared" ca="1" si="44"/>
        <v>3</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Sam</v>
      </c>
      <c r="U155" s="186" t="str">
        <f t="shared" ca="1" si="51"/>
        <v>mars</v>
      </c>
      <c r="X155" s="347">
        <f t="shared" ca="1" si="55"/>
        <v>46081</v>
      </c>
      <c r="Y155" s="452" t="str">
        <f t="shared" ca="1" si="52"/>
        <v>Sam. mars , 2026</v>
      </c>
      <c r="Z155" s="143">
        <f t="shared" ca="1" si="43"/>
        <v>31</v>
      </c>
      <c r="AA155" s="348">
        <f t="shared" ca="1" si="44"/>
        <v>3</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Sam</v>
      </c>
      <c r="U156" s="186" t="str">
        <f t="shared" ca="1" si="51"/>
        <v>mars</v>
      </c>
      <c r="X156" s="347">
        <f t="shared" ca="1" si="55"/>
        <v>46081</v>
      </c>
      <c r="Y156" s="452" t="str">
        <f t="shared" ca="1" si="52"/>
        <v>Sam. mars , 2026</v>
      </c>
      <c r="Z156" s="143">
        <f t="shared" ca="1" si="43"/>
        <v>31</v>
      </c>
      <c r="AA156" s="348">
        <f t="shared" ca="1" si="44"/>
        <v>3</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Sam</v>
      </c>
      <c r="U157" s="186" t="str">
        <f t="shared" ca="1" si="51"/>
        <v>mars</v>
      </c>
      <c r="X157" s="347">
        <f t="shared" ca="1" si="55"/>
        <v>46081</v>
      </c>
      <c r="Y157" s="452" t="str">
        <f t="shared" ca="1" si="52"/>
        <v>Sam. mars , 2026</v>
      </c>
      <c r="Z157" s="143">
        <f t="shared" ca="1" si="43"/>
        <v>31</v>
      </c>
      <c r="AA157" s="348">
        <f t="shared" ca="1" si="44"/>
        <v>3</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Sam</v>
      </c>
      <c r="U158" s="186" t="str">
        <f t="shared" ca="1" si="51"/>
        <v>mars</v>
      </c>
      <c r="X158" s="347">
        <f t="shared" ca="1" si="55"/>
        <v>46081</v>
      </c>
      <c r="Y158" s="452" t="str">
        <f t="shared" ca="1" si="52"/>
        <v>Sam. mars , 2026</v>
      </c>
      <c r="Z158" s="143">
        <f t="shared" ca="1" si="43"/>
        <v>31</v>
      </c>
      <c r="AA158" s="348">
        <f t="shared" ca="1" si="44"/>
        <v>3</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Sam</v>
      </c>
      <c r="U159" s="186" t="str">
        <f t="shared" ca="1" si="51"/>
        <v>mars</v>
      </c>
      <c r="X159" s="347">
        <f t="shared" ca="1" si="55"/>
        <v>46081</v>
      </c>
      <c r="Y159" s="452" t="str">
        <f t="shared" ca="1" si="52"/>
        <v>Sam. mars , 2026</v>
      </c>
      <c r="Z159" s="143">
        <f t="shared" ca="1" si="43"/>
        <v>31</v>
      </c>
      <c r="AA159" s="348">
        <f t="shared" ca="1" si="44"/>
        <v>3</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Sam</v>
      </c>
      <c r="U160" s="186" t="str">
        <f t="shared" ca="1" si="51"/>
        <v>mars</v>
      </c>
      <c r="X160" s="347">
        <f t="shared" ca="1" si="55"/>
        <v>46081</v>
      </c>
      <c r="Y160" s="452" t="str">
        <f t="shared" ca="1" si="52"/>
        <v>Sam. mars , 2026</v>
      </c>
      <c r="Z160" s="143">
        <f t="shared" ca="1" si="43"/>
        <v>31</v>
      </c>
      <c r="AA160" s="348">
        <f t="shared" ca="1" si="44"/>
        <v>3</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Sam</v>
      </c>
      <c r="U161" s="186" t="str">
        <f t="shared" ca="1" si="51"/>
        <v>mars</v>
      </c>
      <c r="X161" s="347">
        <f t="shared" ca="1" si="55"/>
        <v>46081</v>
      </c>
      <c r="Y161" s="452" t="str">
        <f t="shared" ca="1" si="52"/>
        <v>Sam. mars , 2026</v>
      </c>
      <c r="Z161" s="143">
        <f t="shared" ca="1" si="43"/>
        <v>31</v>
      </c>
      <c r="AA161" s="348">
        <f t="shared" ca="1" si="44"/>
        <v>3</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Sam</v>
      </c>
      <c r="U162" s="186" t="str">
        <f t="shared" ca="1" si="51"/>
        <v>mars</v>
      </c>
      <c r="X162" s="347">
        <f t="shared" ca="1" si="55"/>
        <v>46081</v>
      </c>
      <c r="Y162" s="452" t="str">
        <f t="shared" ca="1" si="52"/>
        <v>Sam. mars , 2026</v>
      </c>
      <c r="Z162" s="143">
        <f t="shared" ca="1" si="43"/>
        <v>31</v>
      </c>
      <c r="AA162" s="348">
        <f t="shared" ca="1" si="44"/>
        <v>3</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Sam</v>
      </c>
      <c r="U163" s="186" t="str">
        <f t="shared" ca="1" si="51"/>
        <v>mars</v>
      </c>
      <c r="X163" s="347">
        <f t="shared" ca="1" si="55"/>
        <v>46081</v>
      </c>
      <c r="Y163" s="452" t="str">
        <f t="shared" ca="1" si="52"/>
        <v>Sam. mars , 2026</v>
      </c>
      <c r="Z163" s="143">
        <f t="shared" ca="1" si="43"/>
        <v>31</v>
      </c>
      <c r="AA163" s="348">
        <f t="shared" ca="1" si="44"/>
        <v>3</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Sam</v>
      </c>
      <c r="U164" s="186" t="str">
        <f t="shared" ca="1" si="51"/>
        <v>mars</v>
      </c>
      <c r="X164" s="347">
        <f t="shared" ca="1" si="55"/>
        <v>46081</v>
      </c>
      <c r="Y164" s="452" t="str">
        <f t="shared" ca="1" si="52"/>
        <v>Sam. mars , 2026</v>
      </c>
      <c r="Z164" s="143">
        <f t="shared" ca="1" si="43"/>
        <v>31</v>
      </c>
      <c r="AA164" s="348">
        <f t="shared" ca="1" si="44"/>
        <v>3</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Sam</v>
      </c>
      <c r="U165" s="186" t="str">
        <f t="shared" ca="1" si="51"/>
        <v>mars</v>
      </c>
      <c r="X165" s="347">
        <f t="shared" ca="1" si="55"/>
        <v>46081</v>
      </c>
      <c r="Y165" s="452" t="str">
        <f t="shared" ca="1" si="52"/>
        <v>Sam. mars , 2026</v>
      </c>
      <c r="Z165" s="143">
        <f t="shared" ca="1" si="43"/>
        <v>31</v>
      </c>
      <c r="AA165" s="348">
        <f t="shared" ca="1" si="44"/>
        <v>3</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Sam</v>
      </c>
      <c r="U166" s="186" t="str">
        <f t="shared" ca="1" si="51"/>
        <v>mars</v>
      </c>
      <c r="X166" s="347">
        <f t="shared" ca="1" si="55"/>
        <v>46081</v>
      </c>
      <c r="Y166" s="452" t="str">
        <f t="shared" ca="1" si="52"/>
        <v>Sam. mars , 2026</v>
      </c>
      <c r="Z166" s="143">
        <f t="shared" ca="1" si="43"/>
        <v>31</v>
      </c>
      <c r="AA166" s="348">
        <f t="shared" ca="1" si="44"/>
        <v>3</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Sam</v>
      </c>
      <c r="U167" s="186" t="str">
        <f t="shared" ca="1" si="51"/>
        <v>mars</v>
      </c>
      <c r="X167" s="347">
        <f t="shared" ca="1" si="55"/>
        <v>46081</v>
      </c>
      <c r="Y167" s="452" t="str">
        <f t="shared" ca="1" si="52"/>
        <v>Sam. mars , 2026</v>
      </c>
      <c r="Z167" s="143">
        <f t="shared" ca="1" si="43"/>
        <v>31</v>
      </c>
      <c r="AA167" s="348">
        <f t="shared" ca="1" si="44"/>
        <v>3</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Sam</v>
      </c>
      <c r="U168" s="186" t="str">
        <f t="shared" ca="1" si="51"/>
        <v>mars</v>
      </c>
      <c r="X168" s="347">
        <f t="shared" ca="1" si="55"/>
        <v>46081</v>
      </c>
      <c r="Y168" s="452" t="str">
        <f t="shared" ca="1" si="52"/>
        <v>Sam. mars , 2026</v>
      </c>
      <c r="Z168" s="143">
        <f t="shared" ca="1" si="43"/>
        <v>31</v>
      </c>
      <c r="AA168" s="348">
        <f t="shared" ca="1" si="44"/>
        <v>3</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Sam</v>
      </c>
      <c r="U169" s="186" t="str">
        <f t="shared" ca="1" si="51"/>
        <v>mars</v>
      </c>
      <c r="X169" s="347">
        <f t="shared" ca="1" si="55"/>
        <v>46081</v>
      </c>
      <c r="Y169" s="452" t="str">
        <f t="shared" ca="1" si="52"/>
        <v>Sam. mars , 2026</v>
      </c>
      <c r="Z169" s="143">
        <f t="shared" ca="1" si="43"/>
        <v>31</v>
      </c>
      <c r="AA169" s="348">
        <f t="shared" ca="1" si="44"/>
        <v>3</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Sam</v>
      </c>
      <c r="U170" s="186" t="str">
        <f t="shared" ca="1" si="51"/>
        <v>mars</v>
      </c>
      <c r="X170" s="347">
        <f t="shared" ca="1" si="55"/>
        <v>46081</v>
      </c>
      <c r="Y170" s="452" t="str">
        <f t="shared" ca="1" si="52"/>
        <v>Sam. mars , 2026</v>
      </c>
      <c r="Z170" s="143">
        <f t="shared" ca="1" si="43"/>
        <v>31</v>
      </c>
      <c r="AA170" s="348">
        <f t="shared" ca="1" si="44"/>
        <v>3</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Sam</v>
      </c>
      <c r="U171" s="186" t="str">
        <f t="shared" ca="1" si="51"/>
        <v>mars</v>
      </c>
      <c r="X171" s="347">
        <f t="shared" ca="1" si="55"/>
        <v>46081</v>
      </c>
      <c r="Y171" s="452" t="str">
        <f t="shared" ca="1" si="52"/>
        <v>Sam. mars , 2026</v>
      </c>
      <c r="Z171" s="143">
        <f t="shared" ca="1" si="43"/>
        <v>31</v>
      </c>
      <c r="AA171" s="348">
        <f t="shared" ca="1" si="44"/>
        <v>3</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Sam</v>
      </c>
      <c r="U172" s="186" t="str">
        <f t="shared" ca="1" si="51"/>
        <v>mars</v>
      </c>
      <c r="X172" s="347">
        <f t="shared" ca="1" si="55"/>
        <v>46081</v>
      </c>
      <c r="Y172" s="452" t="str">
        <f t="shared" ca="1" si="52"/>
        <v>Sam. mars , 2026</v>
      </c>
      <c r="Z172" s="143">
        <f t="shared" ca="1" si="43"/>
        <v>31</v>
      </c>
      <c r="AA172" s="348">
        <f t="shared" ca="1" si="44"/>
        <v>3</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Sam</v>
      </c>
      <c r="U173" s="186" t="str">
        <f t="shared" ca="1" si="51"/>
        <v>mars</v>
      </c>
      <c r="X173" s="347">
        <f t="shared" ca="1" si="55"/>
        <v>46081</v>
      </c>
      <c r="Y173" s="452" t="str">
        <f t="shared" ca="1" si="52"/>
        <v>Sam. mars , 2026</v>
      </c>
      <c r="Z173" s="143">
        <f t="shared" ca="1" si="43"/>
        <v>31</v>
      </c>
      <c r="AA173" s="348">
        <f t="shared" ca="1" si="44"/>
        <v>3</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Sam</v>
      </c>
      <c r="U174" s="186" t="str">
        <f t="shared" ca="1" si="51"/>
        <v>mars</v>
      </c>
      <c r="X174" s="347">
        <f t="shared" ca="1" si="55"/>
        <v>46081</v>
      </c>
      <c r="Y174" s="452" t="str">
        <f t="shared" ca="1" si="52"/>
        <v>Sam. mars , 2026</v>
      </c>
      <c r="Z174" s="143">
        <f t="shared" ca="1" si="43"/>
        <v>31</v>
      </c>
      <c r="AA174" s="348">
        <f t="shared" ca="1" si="44"/>
        <v>3</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Sam</v>
      </c>
      <c r="U175" s="186" t="str">
        <f t="shared" ca="1" si="51"/>
        <v>mars</v>
      </c>
      <c r="X175" s="347">
        <f t="shared" ca="1" si="55"/>
        <v>46081</v>
      </c>
      <c r="Y175" s="452" t="str">
        <f t="shared" ca="1" si="52"/>
        <v>Sam. mars , 2026</v>
      </c>
      <c r="Z175" s="143">
        <f t="shared" ca="1" si="43"/>
        <v>31</v>
      </c>
      <c r="AA175" s="348">
        <f t="shared" ca="1" si="44"/>
        <v>3</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Sam</v>
      </c>
      <c r="U176" s="186" t="str">
        <f t="shared" ca="1" si="51"/>
        <v>mars</v>
      </c>
      <c r="X176" s="347">
        <f t="shared" ca="1" si="55"/>
        <v>46081</v>
      </c>
      <c r="Y176" s="452" t="str">
        <f t="shared" ca="1" si="52"/>
        <v>Sam. mars , 2026</v>
      </c>
      <c r="Z176" s="143">
        <f t="shared" ca="1" si="43"/>
        <v>31</v>
      </c>
      <c r="AA176" s="348">
        <f t="shared" ca="1" si="44"/>
        <v>3</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Sam</v>
      </c>
      <c r="U177" s="186" t="str">
        <f t="shared" ca="1" si="51"/>
        <v>mars</v>
      </c>
      <c r="X177" s="347">
        <f t="shared" ca="1" si="55"/>
        <v>46081</v>
      </c>
      <c r="Y177" s="452" t="str">
        <f t="shared" ca="1" si="52"/>
        <v>Sam. mars , 2026</v>
      </c>
      <c r="Z177" s="143">
        <f t="shared" ca="1" si="43"/>
        <v>31</v>
      </c>
      <c r="AA177" s="348">
        <f t="shared" ca="1" si="44"/>
        <v>3</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Sam</v>
      </c>
      <c r="U178" s="186" t="str">
        <f t="shared" ca="1" si="51"/>
        <v>mars</v>
      </c>
      <c r="X178" s="347">
        <f t="shared" ca="1" si="55"/>
        <v>46081</v>
      </c>
      <c r="Y178" s="452" t="str">
        <f t="shared" ca="1" si="52"/>
        <v>Sam. mars , 2026</v>
      </c>
      <c r="Z178" s="143">
        <f t="shared" ca="1" si="43"/>
        <v>31</v>
      </c>
      <c r="AA178" s="348">
        <f t="shared" ca="1" si="44"/>
        <v>3</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Sam</v>
      </c>
      <c r="U179" s="186" t="str">
        <f t="shared" ca="1" si="51"/>
        <v>mars</v>
      </c>
      <c r="X179" s="347">
        <f t="shared" ca="1" si="55"/>
        <v>46081</v>
      </c>
      <c r="Y179" s="452" t="str">
        <f t="shared" ca="1" si="52"/>
        <v>Sam. mars , 2026</v>
      </c>
      <c r="Z179" s="143">
        <f t="shared" ca="1" si="43"/>
        <v>31</v>
      </c>
      <c r="AA179" s="348">
        <f t="shared" ca="1" si="44"/>
        <v>3</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Sam</v>
      </c>
      <c r="U180" s="186" t="str">
        <f t="shared" ca="1" si="51"/>
        <v>mars</v>
      </c>
      <c r="X180" s="347">
        <f t="shared" ca="1" si="55"/>
        <v>46081</v>
      </c>
      <c r="Y180" s="452" t="str">
        <f t="shared" ca="1" si="52"/>
        <v>Sam. mars , 2026</v>
      </c>
      <c r="Z180" s="143">
        <f t="shared" ca="1" si="43"/>
        <v>31</v>
      </c>
      <c r="AA180" s="348">
        <f t="shared" ca="1" si="44"/>
        <v>3</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Sam</v>
      </c>
      <c r="U181" s="186" t="str">
        <f t="shared" ca="1" si="51"/>
        <v>mars</v>
      </c>
      <c r="X181" s="347">
        <f t="shared" ca="1" si="55"/>
        <v>46081</v>
      </c>
      <c r="Y181" s="452" t="str">
        <f t="shared" ca="1" si="52"/>
        <v>Sam. mars , 2026</v>
      </c>
      <c r="Z181" s="143">
        <f t="shared" ca="1" si="43"/>
        <v>31</v>
      </c>
      <c r="AA181" s="348">
        <f t="shared" ca="1" si="44"/>
        <v>3</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Sam</v>
      </c>
      <c r="U182" s="186" t="str">
        <f t="shared" ca="1" si="51"/>
        <v>mars</v>
      </c>
      <c r="X182" s="347">
        <f t="shared" ca="1" si="55"/>
        <v>46081</v>
      </c>
      <c r="Y182" s="452" t="str">
        <f t="shared" ca="1" si="52"/>
        <v>Sam. mars , 2026</v>
      </c>
      <c r="Z182" s="143">
        <f t="shared" ca="1" si="43"/>
        <v>31</v>
      </c>
      <c r="AA182" s="348">
        <f t="shared" ca="1" si="44"/>
        <v>3</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Sam</v>
      </c>
      <c r="U183" s="186" t="str">
        <f t="shared" ca="1" si="51"/>
        <v>mars</v>
      </c>
      <c r="X183" s="347">
        <f t="shared" ca="1" si="55"/>
        <v>46081</v>
      </c>
      <c r="Y183" s="452" t="str">
        <f t="shared" ca="1" si="52"/>
        <v>Sam. mars , 2026</v>
      </c>
      <c r="Z183" s="143">
        <f t="shared" ca="1" si="43"/>
        <v>31</v>
      </c>
      <c r="AA183" s="348">
        <f t="shared" ca="1" si="44"/>
        <v>3</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Sam</v>
      </c>
      <c r="U184" s="186" t="str">
        <f t="shared" ca="1" si="51"/>
        <v>mars</v>
      </c>
      <c r="X184" s="347">
        <f t="shared" ca="1" si="55"/>
        <v>46081</v>
      </c>
      <c r="Y184" s="452" t="str">
        <f t="shared" ca="1" si="52"/>
        <v>Sam. mars , 2026</v>
      </c>
      <c r="Z184" s="143">
        <f t="shared" ca="1" si="43"/>
        <v>31</v>
      </c>
      <c r="AA184" s="348">
        <f t="shared" ca="1" si="44"/>
        <v>3</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Sam</v>
      </c>
      <c r="U185" s="186" t="str">
        <f t="shared" ca="1" si="51"/>
        <v>mars</v>
      </c>
      <c r="X185" s="347">
        <f t="shared" ca="1" si="55"/>
        <v>46081</v>
      </c>
      <c r="Y185" s="452" t="str">
        <f t="shared" ca="1" si="52"/>
        <v>Sam. mars , 2026</v>
      </c>
      <c r="Z185" s="143">
        <f t="shared" ca="1" si="43"/>
        <v>31</v>
      </c>
      <c r="AA185" s="348">
        <f t="shared" ca="1" si="44"/>
        <v>3</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Sam</v>
      </c>
      <c r="U186" s="186" t="str">
        <f t="shared" ca="1" si="51"/>
        <v>mars</v>
      </c>
      <c r="X186" s="347">
        <f t="shared" ca="1" si="55"/>
        <v>46081</v>
      </c>
      <c r="Y186" s="452" t="str">
        <f t="shared" ca="1" si="52"/>
        <v>Sam. mars , 2026</v>
      </c>
      <c r="Z186" s="143">
        <f t="shared" ca="1" si="43"/>
        <v>31</v>
      </c>
      <c r="AA186" s="348">
        <f t="shared" ca="1" si="44"/>
        <v>3</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Sam</v>
      </c>
      <c r="U187" s="186" t="str">
        <f t="shared" ca="1" si="51"/>
        <v>mars</v>
      </c>
      <c r="X187" s="347">
        <f t="shared" ca="1" si="55"/>
        <v>46081</v>
      </c>
      <c r="Y187" s="452" t="str">
        <f t="shared" ca="1" si="52"/>
        <v>Sam. mars , 2026</v>
      </c>
      <c r="Z187" s="143">
        <f t="shared" ca="1" si="43"/>
        <v>31</v>
      </c>
      <c r="AA187" s="348">
        <f t="shared" ca="1" si="44"/>
        <v>3</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Sam</v>
      </c>
      <c r="U188" s="186" t="str">
        <f t="shared" ca="1" si="51"/>
        <v>mars</v>
      </c>
      <c r="X188" s="347">
        <f t="shared" ca="1" si="55"/>
        <v>46081</v>
      </c>
      <c r="Y188" s="452" t="str">
        <f t="shared" ca="1" si="52"/>
        <v>Sam. mars , 2026</v>
      </c>
      <c r="Z188" s="143">
        <f t="shared" ca="1" si="43"/>
        <v>31</v>
      </c>
      <c r="AA188" s="348">
        <f t="shared" ca="1" si="44"/>
        <v>3</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Sam</v>
      </c>
      <c r="U189" s="186" t="str">
        <f t="shared" ca="1" si="51"/>
        <v>mars</v>
      </c>
      <c r="X189" s="347">
        <f t="shared" ca="1" si="55"/>
        <v>46081</v>
      </c>
      <c r="Y189" s="452" t="str">
        <f t="shared" ca="1" si="52"/>
        <v>Sam. mars , 2026</v>
      </c>
      <c r="Z189" s="143">
        <f t="shared" ca="1" si="43"/>
        <v>31</v>
      </c>
      <c r="AA189" s="348">
        <f t="shared" ca="1" si="44"/>
        <v>3</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Sam</v>
      </c>
      <c r="U190" s="186" t="str">
        <f t="shared" ca="1" si="51"/>
        <v>mars</v>
      </c>
      <c r="X190" s="347">
        <f t="shared" ca="1" si="55"/>
        <v>46081</v>
      </c>
      <c r="Y190" s="452" t="str">
        <f t="shared" ca="1" si="52"/>
        <v>Sam. mars , 2026</v>
      </c>
      <c r="Z190" s="143">
        <f t="shared" ca="1" si="43"/>
        <v>31</v>
      </c>
      <c r="AA190" s="348">
        <f t="shared" ca="1" si="44"/>
        <v>3</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Sam</v>
      </c>
      <c r="U191" s="186" t="str">
        <f t="shared" ca="1" si="51"/>
        <v>mars</v>
      </c>
      <c r="X191" s="347">
        <f t="shared" ca="1" si="55"/>
        <v>46081</v>
      </c>
      <c r="Y191" s="452" t="str">
        <f t="shared" ca="1" si="52"/>
        <v>Sam. mars , 2026</v>
      </c>
      <c r="Z191" s="143">
        <f t="shared" ca="1" si="43"/>
        <v>31</v>
      </c>
      <c r="AA191" s="348">
        <f t="shared" ca="1" si="44"/>
        <v>3</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Sam</v>
      </c>
      <c r="U192" s="186" t="str">
        <f t="shared" ca="1" si="51"/>
        <v>mars</v>
      </c>
      <c r="X192" s="347">
        <f t="shared" ca="1" si="55"/>
        <v>46081</v>
      </c>
      <c r="Y192" s="452" t="str">
        <f t="shared" ca="1" si="52"/>
        <v>Sam. mars , 2026</v>
      </c>
      <c r="Z192" s="143">
        <f t="shared" ca="1" si="43"/>
        <v>31</v>
      </c>
      <c r="AA192" s="348">
        <f t="shared" ca="1" si="44"/>
        <v>3</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Sam</v>
      </c>
      <c r="U193" s="186" t="str">
        <f t="shared" ca="1" si="51"/>
        <v>mars</v>
      </c>
      <c r="X193" s="347">
        <f t="shared" ca="1" si="55"/>
        <v>46081</v>
      </c>
      <c r="Y193" s="452" t="str">
        <f t="shared" ca="1" si="52"/>
        <v>Sam. mars , 2026</v>
      </c>
      <c r="Z193" s="143">
        <f t="shared" ca="1" si="43"/>
        <v>31</v>
      </c>
      <c r="AA193" s="348">
        <f t="shared" ca="1" si="44"/>
        <v>3</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Sam</v>
      </c>
      <c r="U194" s="186" t="str">
        <f t="shared" ca="1" si="51"/>
        <v>mars</v>
      </c>
      <c r="X194" s="347">
        <f t="shared" ca="1" si="55"/>
        <v>46081</v>
      </c>
      <c r="Y194" s="452" t="str">
        <f t="shared" ca="1" si="52"/>
        <v>Sam. mars , 2026</v>
      </c>
      <c r="Z194" s="143">
        <f t="shared" ca="1" si="43"/>
        <v>31</v>
      </c>
      <c r="AA194" s="348">
        <f t="shared" ca="1" si="44"/>
        <v>3</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77" priority="59" stopIfTrue="1">
      <formula>AND($AJ$2=$AF$5,$X$16=$X$13)</formula>
    </cfRule>
  </conditionalFormatting>
  <conditionalFormatting sqref="B18">
    <cfRule type="expression" dxfId="676" priority="38" stopIfTrue="1">
      <formula>(B18&gt;DATE(2000+$Y$2,$AA$21+1,1)-DATE(2000+$Y$2,$AA$21,1))</formula>
    </cfRule>
  </conditionalFormatting>
  <conditionalFormatting sqref="B20:B194">
    <cfRule type="expression" dxfId="675" priority="5" stopIfTrue="1">
      <formula>($G20="- -")</formula>
    </cfRule>
  </conditionalFormatting>
  <conditionalFormatting sqref="B16:J16">
    <cfRule type="expression" dxfId="674" priority="45" stopIfTrue="1">
      <formula>AND($AJ$2=$AF$5,$X$16=$X$13)</formula>
    </cfRule>
  </conditionalFormatting>
  <conditionalFormatting sqref="C17">
    <cfRule type="cellIs" dxfId="673" priority="44" stopIfTrue="1" operator="equal">
      <formula>"X"</formula>
    </cfRule>
  </conditionalFormatting>
  <conditionalFormatting sqref="C20:C194">
    <cfRule type="expression" dxfId="672" priority="13" stopIfTrue="1">
      <formula>($X$16=$X$14)</formula>
    </cfRule>
    <cfRule type="expression" dxfId="671" priority="14" stopIfTrue="1">
      <formula>($AV20=1)</formula>
    </cfRule>
    <cfRule type="expression" dxfId="670" priority="15" stopIfTrue="1">
      <formula>AND(D20=1+D19,G20=X20)</formula>
    </cfRule>
  </conditionalFormatting>
  <conditionalFormatting sqref="C9:J9">
    <cfRule type="expression" dxfId="669" priority="70" stopIfTrue="1">
      <formula>AND(ISNUMBER(C$9),ISNUMBER(C10),(C$9&gt;C$10))</formula>
    </cfRule>
  </conditionalFormatting>
  <conditionalFormatting sqref="C10:J10">
    <cfRule type="expression" dxfId="668" priority="76" stopIfTrue="1">
      <formula>AND(ISNUMBER(C$9),ISNUMBER(C10),(C$9&gt;C$10))</formula>
    </cfRule>
  </conditionalFormatting>
  <conditionalFormatting sqref="D20">
    <cfRule type="expression" dxfId="667" priority="17" stopIfTrue="1">
      <formula>AND($G20&lt;&gt;"- -",$G20&lt;&gt;$Y20)</formula>
    </cfRule>
    <cfRule type="expression" dxfId="666" priority="18" stopIfTrue="1">
      <formula>($AI20=1)</formula>
    </cfRule>
  </conditionalFormatting>
  <conditionalFormatting sqref="D21:D194">
    <cfRule type="expression" dxfId="665" priority="62" stopIfTrue="1">
      <formula>($AI21=1)</formula>
    </cfRule>
    <cfRule type="expression" dxfId="664" priority="61" stopIfTrue="1">
      <formula>AND($G21&lt;&gt;"- -",$G21&lt;&gt;$Y21)</formula>
    </cfRule>
  </conditionalFormatting>
  <conditionalFormatting sqref="D18:G19">
    <cfRule type="expression" dxfId="663" priority="37" stopIfTrue="1">
      <formula>($AB$16&lt;2)</formula>
    </cfRule>
  </conditionalFormatting>
  <conditionalFormatting sqref="D20:G194">
    <cfRule type="expression" dxfId="662" priority="16" stopIfTrue="1">
      <formula>OR($G20=$G19,$D20=$D19)</formula>
    </cfRule>
  </conditionalFormatting>
  <conditionalFormatting sqref="E8:F8">
    <cfRule type="expression" dxfId="661" priority="72" stopIfTrue="1">
      <formula>AND(ISNUMBER(E$9),ISNUMBER(E10),(E$9&gt;E$10))</formula>
    </cfRule>
    <cfRule type="expression" dxfId="660" priority="71" stopIfTrue="1">
      <formula>(BJ$13&gt;0)</formula>
    </cfRule>
  </conditionalFormatting>
  <conditionalFormatting sqref="E20:G20">
    <cfRule type="expression" dxfId="659" priority="21" stopIfTrue="1">
      <formula>($AI20+$AX20&gt;0)</formula>
    </cfRule>
    <cfRule type="expression" dxfId="658" priority="20" stopIfTrue="1">
      <formula>AND($G20&lt;&gt;"- -",$G20&lt;&gt;$Y20)</formula>
    </cfRule>
  </conditionalFormatting>
  <conditionalFormatting sqref="E21:G194">
    <cfRule type="expression" dxfId="657" priority="65" stopIfTrue="1">
      <formula>($AI21+$AX21&gt;0)</formula>
    </cfRule>
    <cfRule type="expression" dxfId="656" priority="64" stopIfTrue="1">
      <formula>AND($G21&lt;&gt;"- -",$G21&lt;&gt;$Y21)</formula>
    </cfRule>
  </conditionalFormatting>
  <conditionalFormatting sqref="G8:J8">
    <cfRule type="expression" dxfId="655" priority="74" stopIfTrue="1">
      <formula>AND(ISNUMBER(G$9),ISNUMBER(G10),(G$9&gt;G$10))</formula>
    </cfRule>
    <cfRule type="expression" dxfId="654" priority="73" stopIfTrue="1">
      <formula>(BK$13&gt;0)</formula>
    </cfRule>
  </conditionalFormatting>
  <conditionalFormatting sqref="H6:I7">
    <cfRule type="expression" dxfId="653" priority="75" stopIfTrue="1">
      <formula>AND(ISNUMBER($H$7),$H$7&lt;$I$7)</formula>
    </cfRule>
  </conditionalFormatting>
  <conditionalFormatting sqref="H21:J194">
    <cfRule type="expression" dxfId="652" priority="3" stopIfTrue="1">
      <formula>($D20=$D21)</formula>
    </cfRule>
  </conditionalFormatting>
  <conditionalFormatting sqref="J7">
    <cfRule type="cellIs" dxfId="651" priority="49" stopIfTrue="1" operator="lessThan">
      <formula>0</formula>
    </cfRule>
  </conditionalFormatting>
  <conditionalFormatting sqref="K20:K34">
    <cfRule type="expression" dxfId="650" priority="69" stopIfTrue="1">
      <formula>AND(ISNUMBER(K20),ISNUMBER(L20),OR(K20&lt;L19,K20&gt;L20))</formula>
    </cfRule>
  </conditionalFormatting>
  <conditionalFormatting sqref="K35:K194">
    <cfRule type="expression" dxfId="649" priority="58" stopIfTrue="1">
      <formula>AND(ISNUMBER(K35),OR(K35&lt;L34,K35&gt;L35,$BM35&lt;&gt;1))</formula>
    </cfRule>
  </conditionalFormatting>
  <conditionalFormatting sqref="K18:L18 BE19:BF19">
    <cfRule type="expression" dxfId="648" priority="27" stopIfTrue="1">
      <formula>($K$19=$AL$7)</formula>
    </cfRule>
  </conditionalFormatting>
  <conditionalFormatting sqref="K20:M194">
    <cfRule type="expression" dxfId="647" priority="51" stopIfTrue="1">
      <formula>OR($AJ$2=$AF$5,$AW20=0,$AV20=1,$AG20=99)</formula>
    </cfRule>
  </conditionalFormatting>
  <conditionalFormatting sqref="L20:L34">
    <cfRule type="expression" dxfId="646" priority="67" stopIfTrue="1">
      <formula>AND(ISNUMBER(L20),OR(AND(L20&lt;K19,B20&gt;1),K20&gt;L20))</formula>
    </cfRule>
  </conditionalFormatting>
  <conditionalFormatting sqref="L35:L194">
    <cfRule type="expression" dxfId="645" priority="56" stopIfTrue="1">
      <formula>AND(ISNUMBER(L35),OR(AND(L35&lt;K34,B35&gt;1),K35&gt;L35,$BN35&lt;&gt;1))</formula>
    </cfRule>
  </conditionalFormatting>
  <conditionalFormatting sqref="M19 BG20">
    <cfRule type="cellIs" dxfId="644" priority="42" stopIfTrue="1" operator="equal">
      <formula>0</formula>
    </cfRule>
    <cfRule type="expression" dxfId="643" priority="43" stopIfTrue="1">
      <formula>($AJ$2=$AF$5)</formula>
    </cfRule>
  </conditionalFormatting>
  <conditionalFormatting sqref="M20:M194">
    <cfRule type="cellIs" dxfId="642" priority="52" stopIfTrue="1" operator="lessThan">
      <formula>0</formula>
    </cfRule>
    <cfRule type="expression" dxfId="641" priority="53" stopIfTrue="1">
      <formula>($D19=$D20)</formula>
    </cfRule>
  </conditionalFormatting>
  <conditionalFormatting sqref="N19:Q19 BH20:BK20">
    <cfRule type="cellIs" dxfId="640" priority="40" stopIfTrue="1" operator="equal">
      <formula>0</formula>
    </cfRule>
    <cfRule type="expression" dxfId="639" priority="41" stopIfTrue="1">
      <formula>($AJ$2=$AF$5)</formula>
    </cfRule>
  </conditionalFormatting>
  <conditionalFormatting sqref="N20:Q194">
    <cfRule type="expression" dxfId="638" priority="50" stopIfTrue="1">
      <formula>OR($AW20=0,$AV20=1,$AG20=99,$AJ$2=$AF$5)</formula>
    </cfRule>
  </conditionalFormatting>
  <conditionalFormatting sqref="R20:R194">
    <cfRule type="expression" dxfId="637" priority="12" stopIfTrue="1">
      <formula>($AI20=1)</formula>
    </cfRule>
    <cfRule type="expression" dxfId="636" priority="11" stopIfTrue="1">
      <formula>"ND($G21&lt;&gt;""- -"",$G21&lt;&gt;TEXT(X21,""Dddd, Mmmm dd, Yyyy""))"</formula>
    </cfRule>
    <cfRule type="expression" dxfId="635" priority="10" stopIfTrue="1">
      <formula>OR($G20=$G19,$D20=$D19)</formula>
    </cfRule>
  </conditionalFormatting>
  <conditionalFormatting sqref="U5">
    <cfRule type="expression" dxfId="634" priority="23" stopIfTrue="1">
      <formula>OR($AC$7,$AC$6)</formula>
    </cfRule>
  </conditionalFormatting>
  <conditionalFormatting sqref="U18 X20:Z194 AC20:AE194 AK20:AK194 AQ20:AR194">
    <cfRule type="cellIs" dxfId="633" priority="4" stopIfTrue="1" operator="notEqual">
      <formula>U17</formula>
    </cfRule>
  </conditionalFormatting>
  <conditionalFormatting sqref="U201:AB201">
    <cfRule type="expression" dxfId="632" priority="39" stopIfTrue="1">
      <formula>(LEN($X$11)&gt;4)</formula>
    </cfRule>
  </conditionalFormatting>
  <conditionalFormatting sqref="V5:V7 J6 U6:U7">
    <cfRule type="expression" dxfId="631" priority="22" stopIfTrue="1">
      <formula>OR($AC$7,$AC$6,#REF!)</formula>
    </cfRule>
  </conditionalFormatting>
  <conditionalFormatting sqref="V19">
    <cfRule type="cellIs" dxfId="630" priority="24" stopIfTrue="1" operator="equal">
      <formula>1</formula>
    </cfRule>
  </conditionalFormatting>
  <conditionalFormatting sqref="AB6">
    <cfRule type="expression" dxfId="629" priority="30" stopIfTrue="1">
      <formula>$AC$6</formula>
    </cfRule>
  </conditionalFormatting>
  <conditionalFormatting sqref="AB7">
    <cfRule type="expression" dxfId="628" priority="29" stopIfTrue="1">
      <formula>$AC$7</formula>
    </cfRule>
  </conditionalFormatting>
  <conditionalFormatting sqref="AB20:AB194">
    <cfRule type="cellIs" dxfId="627" priority="47" stopIfTrue="1" operator="greaterThan">
      <formula>0</formula>
    </cfRule>
    <cfRule type="cellIs" dxfId="626" priority="48" stopIfTrue="1" operator="lessThan">
      <formula>0</formula>
    </cfRule>
  </conditionalFormatting>
  <conditionalFormatting sqref="AF20:AG194">
    <cfRule type="cellIs" dxfId="625" priority="33" stopIfTrue="1" operator="greaterThan">
      <formula>1</formula>
    </cfRule>
  </conditionalFormatting>
  <conditionalFormatting sqref="AJ16:AJ17 AJ20:AJ194">
    <cfRule type="cellIs" dxfId="624" priority="32" stopIfTrue="1" operator="greaterThan">
      <formula>0</formula>
    </cfRule>
  </conditionalFormatting>
  <conditionalFormatting sqref="AK2:BO2">
    <cfRule type="cellIs" dxfId="623" priority="36" stopIfTrue="1" operator="equal">
      <formula>0</formula>
    </cfRule>
  </conditionalFormatting>
  <conditionalFormatting sqref="AK5:BO6">
    <cfRule type="cellIs" dxfId="622" priority="31" stopIfTrue="1" operator="equal">
      <formula>0</formula>
    </cfRule>
  </conditionalFormatting>
  <conditionalFormatting sqref="AP20:AP194">
    <cfRule type="cellIs" dxfId="621" priority="26" stopIfTrue="1" operator="lessThan">
      <formula>999</formula>
    </cfRule>
  </conditionalFormatting>
  <conditionalFormatting sqref="AU20:AU194">
    <cfRule type="expression" dxfId="620" priority="35" stopIfTrue="1">
      <formula>LEN(AU20)&gt;2</formula>
    </cfRule>
  </conditionalFormatting>
  <conditionalFormatting sqref="AV20:AV194">
    <cfRule type="cellIs" dxfId="619" priority="34" stopIfTrue="1" operator="equal">
      <formula>1</formula>
    </cfRule>
  </conditionalFormatting>
  <conditionalFormatting sqref="AW20:AW194">
    <cfRule type="cellIs" dxfId="618" priority="46" stopIfTrue="1" operator="equal">
      <formula>0</formula>
    </cfRule>
  </conditionalFormatting>
  <conditionalFormatting sqref="BE20:BF20">
    <cfRule type="expression" dxfId="617" priority="28" stopIfTrue="1">
      <formula>($K$19=$AL$7)</formula>
    </cfRule>
  </conditionalFormatting>
  <conditionalFormatting sqref="BI10:BI12 BF11:BF12">
    <cfRule type="expression" dxfId="616" priority="7" stopIfTrue="1">
      <formula>(LEN($C$9)=0)</formula>
    </cfRule>
  </conditionalFormatting>
  <conditionalFormatting sqref="BI10:BN12 BF11:BF12">
    <cfRule type="expression" dxfId="615" priority="6" stopIfTrue="1">
      <formula>LEN($AA9)&gt;4</formula>
    </cfRule>
  </conditionalFormatting>
  <conditionalFormatting sqref="BJ10:BN12">
    <cfRule type="expression" dxfId="614" priority="9" stopIfTrue="1">
      <formula>(LEN(E$9)=0)</formula>
    </cfRule>
  </conditionalFormatting>
  <conditionalFormatting sqref="BJ13:BN13 R16:R17">
    <cfRule type="cellIs" dxfId="613" priority="25" stopIfTrue="1" operator="equal">
      <formula>0</formula>
    </cfRule>
  </conditionalFormatting>
  <conditionalFormatting sqref="BM20:BN194">
    <cfRule type="cellIs" dxfId="612" priority="54" stopIfTrue="1" operator="notEqual">
      <formula>1</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G24" sqref="G24"/>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automobile/2026/[electronic-car-log-2025-fr.xlsx]04</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04</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30</v>
      </c>
      <c r="BQ4" s="251"/>
      <c r="BR4" s="7"/>
      <c r="BS4" s="7"/>
      <c r="BT4" s="7"/>
      <c r="IU4" s="16"/>
    </row>
    <row r="5" spans="1:255" ht="15.75" customHeight="1">
      <c r="B5" s="767" t="str">
        <f ca="1">V17</f>
        <v>avril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April</v>
      </c>
      <c r="AF5" s="136">
        <f ca="1">DATE(AE7,AD6+1,1)-DATE(AE7,AD6,1)</f>
        <v>30</v>
      </c>
      <c r="AG5" s="178" t="str">
        <f ca="1">'NTS ONLY_set_year'!E104&amp;$AF$5&amp;'NTS ONLY_set_year'!E7</f>
        <v>◄ ◄ ◄ Seulement 30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30</v>
      </c>
      <c r="V6" s="263" t="str">
        <f>'NTS ONLY_set_year'!E53</f>
        <v>Jours de disponibilité du véhicule à des fins personnelles</v>
      </c>
      <c r="W6" s="264"/>
      <c r="X6" s="264"/>
      <c r="Y6" s="264"/>
      <c r="Z6" s="264"/>
      <c r="AA6" s="265">
        <f>$D$7</f>
        <v>0</v>
      </c>
      <c r="AB6" s="141"/>
      <c r="AC6" s="142"/>
      <c r="AD6" s="266">
        <f ca="1">MATCH(AD4,'Annual Summary_Sommaire annuel'!$Y$24:$Y$35,0)</f>
        <v>4</v>
      </c>
      <c r="AE6" s="144" t="str">
        <f ca="1">TEXT(DATE($AE$7,$AD$6,1),"Mmmm, YYYY")</f>
        <v>April, 2026</v>
      </c>
      <c r="AF6" s="145">
        <f ca="1">$AF$5</f>
        <v>30</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30</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46112</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30</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30</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avril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April</v>
      </c>
      <c r="V18" s="510" t="str">
        <f ca="1">AE6</f>
        <v>April,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avril</v>
      </c>
      <c r="V19" s="510" t="str">
        <f ca="1">U19&amp;" "&amp;Year_four_digits</f>
        <v>avril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Mer.  1 avril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Mer</v>
      </c>
      <c r="U20" s="186" t="str">
        <f ca="1">$U$19</f>
        <v>avril</v>
      </c>
      <c r="X20" s="347">
        <f ca="1">$AE$8+D20</f>
        <v>46113</v>
      </c>
      <c r="Y20" s="452" t="str">
        <f ca="1">IF(Y14="f",T20&amp;". "&amp;" "&amp;R20&amp;" "&amp;U20&amp;" "&amp;$AE$7,T20&amp;". "&amp;U20&amp;" "&amp;R20&amp;", "&amp;$AE$7)</f>
        <v>Mer.  1 avril 2026</v>
      </c>
      <c r="Z20" s="143">
        <f t="shared" ref="Z20:Z83" ca="1" si="4">MIN(R20,$AF$5)</f>
        <v>1</v>
      </c>
      <c r="AA20" s="348">
        <f t="shared" ref="AA20:AA83" ca="1" si="5">$AD$6</f>
        <v>4</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30</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Mar</v>
      </c>
      <c r="U21" s="186" t="str">
        <f t="shared" ref="U21:U84" ca="1" si="13">$U$19</f>
        <v>avril</v>
      </c>
      <c r="X21" s="347">
        <f ca="1">$AE$8+D21</f>
        <v>46112</v>
      </c>
      <c r="Y21" s="452" t="str">
        <f t="shared" ref="Y21:Y84" ca="1" si="14">IF(Y15="f",T21&amp;". "&amp;" "&amp;R21&amp;" "&amp;U21&amp;" "&amp;$AE$7,T21&amp;". "&amp;U21&amp;" "&amp;R21&amp;", "&amp;$AE$7)</f>
        <v>Mar. avril , 2026</v>
      </c>
      <c r="Z21" s="143">
        <f t="shared" ca="1" si="4"/>
        <v>30</v>
      </c>
      <c r="AA21" s="348">
        <f t="shared" ca="1" si="5"/>
        <v>4</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Mar</v>
      </c>
      <c r="U22" s="186" t="str">
        <f t="shared" ca="1" si="13"/>
        <v>avril</v>
      </c>
      <c r="X22" s="347">
        <f t="shared" ref="X22:X85" ca="1" si="17">$AE$8+D22</f>
        <v>46112</v>
      </c>
      <c r="Y22" s="452" t="str">
        <f t="shared" ca="1" si="14"/>
        <v>Mar. avril , 2026</v>
      </c>
      <c r="Z22" s="143">
        <f t="shared" ca="1" si="4"/>
        <v>30</v>
      </c>
      <c r="AA22" s="348">
        <f t="shared" ca="1" si="5"/>
        <v>4</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Mar</v>
      </c>
      <c r="U23" s="186" t="str">
        <f t="shared" ca="1" si="13"/>
        <v>avril</v>
      </c>
      <c r="X23" s="347">
        <f t="shared" ca="1" si="17"/>
        <v>46112</v>
      </c>
      <c r="Y23" s="452" t="str">
        <f t="shared" ca="1" si="14"/>
        <v>Mar. avril , 2026</v>
      </c>
      <c r="Z23" s="143">
        <f t="shared" ca="1" si="4"/>
        <v>30</v>
      </c>
      <c r="AA23" s="348">
        <f t="shared" ca="1" si="5"/>
        <v>4</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Mar</v>
      </c>
      <c r="U24" s="186" t="str">
        <f t="shared" ca="1" si="13"/>
        <v>avril</v>
      </c>
      <c r="X24" s="347">
        <f t="shared" ca="1" si="17"/>
        <v>46112</v>
      </c>
      <c r="Y24" s="452" t="str">
        <f t="shared" ca="1" si="14"/>
        <v>Mar. avril , 2026</v>
      </c>
      <c r="Z24" s="143">
        <f t="shared" ca="1" si="4"/>
        <v>30</v>
      </c>
      <c r="AA24" s="348">
        <f t="shared" ca="1" si="5"/>
        <v>4</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Mar</v>
      </c>
      <c r="U25" s="186" t="str">
        <f t="shared" ca="1" si="13"/>
        <v>avril</v>
      </c>
      <c r="X25" s="347">
        <f t="shared" ca="1" si="17"/>
        <v>46112</v>
      </c>
      <c r="Y25" s="452" t="str">
        <f t="shared" ca="1" si="14"/>
        <v>Mar. avril , 2026</v>
      </c>
      <c r="Z25" s="143">
        <f t="shared" ca="1" si="4"/>
        <v>30</v>
      </c>
      <c r="AA25" s="348">
        <f t="shared" ca="1" si="5"/>
        <v>4</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Mar</v>
      </c>
      <c r="U26" s="186" t="str">
        <f t="shared" ca="1" si="13"/>
        <v>avril</v>
      </c>
      <c r="X26" s="347">
        <f t="shared" ca="1" si="17"/>
        <v>46112</v>
      </c>
      <c r="Y26" s="452" t="str">
        <f t="shared" ca="1" si="14"/>
        <v>Mar. avril , 2026</v>
      </c>
      <c r="Z26" s="143">
        <f t="shared" ca="1" si="4"/>
        <v>30</v>
      </c>
      <c r="AA26" s="348">
        <f t="shared" ca="1" si="5"/>
        <v>4</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Mar</v>
      </c>
      <c r="U27" s="186" t="str">
        <f t="shared" ca="1" si="13"/>
        <v>avril</v>
      </c>
      <c r="X27" s="347">
        <f t="shared" ca="1" si="17"/>
        <v>46112</v>
      </c>
      <c r="Y27" s="452" t="str">
        <f t="shared" ca="1" si="14"/>
        <v>Mar. avril , 2026</v>
      </c>
      <c r="Z27" s="143">
        <f t="shared" ca="1" si="4"/>
        <v>30</v>
      </c>
      <c r="AA27" s="348">
        <f t="shared" ca="1" si="5"/>
        <v>4</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Mar</v>
      </c>
      <c r="U28" s="186" t="str">
        <f t="shared" ca="1" si="13"/>
        <v>avril</v>
      </c>
      <c r="X28" s="347">
        <f t="shared" ca="1" si="17"/>
        <v>46112</v>
      </c>
      <c r="Y28" s="452" t="str">
        <f t="shared" ca="1" si="14"/>
        <v>Mar. avril , 2026</v>
      </c>
      <c r="Z28" s="143">
        <f t="shared" ca="1" si="4"/>
        <v>30</v>
      </c>
      <c r="AA28" s="348">
        <f t="shared" ca="1" si="5"/>
        <v>4</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Mar</v>
      </c>
      <c r="U29" s="186" t="str">
        <f t="shared" ca="1" si="13"/>
        <v>avril</v>
      </c>
      <c r="X29" s="347">
        <f t="shared" ca="1" si="17"/>
        <v>46112</v>
      </c>
      <c r="Y29" s="452" t="str">
        <f t="shared" ca="1" si="14"/>
        <v>Mar. avril , 2026</v>
      </c>
      <c r="Z29" s="143">
        <f t="shared" ca="1" si="4"/>
        <v>30</v>
      </c>
      <c r="AA29" s="348">
        <f t="shared" ca="1" si="5"/>
        <v>4</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Mar</v>
      </c>
      <c r="U30" s="186" t="str">
        <f t="shared" ca="1" si="13"/>
        <v>avril</v>
      </c>
      <c r="X30" s="347">
        <f t="shared" ca="1" si="17"/>
        <v>46112</v>
      </c>
      <c r="Y30" s="452" t="str">
        <f t="shared" ca="1" si="14"/>
        <v>Mar. avril , 2026</v>
      </c>
      <c r="Z30" s="143">
        <f t="shared" ca="1" si="4"/>
        <v>30</v>
      </c>
      <c r="AA30" s="348">
        <f t="shared" ca="1" si="5"/>
        <v>4</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Mar</v>
      </c>
      <c r="U31" s="186" t="str">
        <f t="shared" ca="1" si="13"/>
        <v>avril</v>
      </c>
      <c r="X31" s="347">
        <f t="shared" ca="1" si="17"/>
        <v>46112</v>
      </c>
      <c r="Y31" s="452" t="str">
        <f t="shared" ca="1" si="14"/>
        <v>Mar. avril , 2026</v>
      </c>
      <c r="Z31" s="143">
        <f t="shared" ca="1" si="4"/>
        <v>30</v>
      </c>
      <c r="AA31" s="348">
        <f t="shared" ca="1" si="5"/>
        <v>4</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Mar</v>
      </c>
      <c r="U32" s="186" t="str">
        <f t="shared" ca="1" si="13"/>
        <v>avril</v>
      </c>
      <c r="X32" s="347">
        <f t="shared" ca="1" si="17"/>
        <v>46112</v>
      </c>
      <c r="Y32" s="452" t="str">
        <f t="shared" ca="1" si="14"/>
        <v>Mar. avril , 2026</v>
      </c>
      <c r="Z32" s="143">
        <f t="shared" ca="1" si="4"/>
        <v>30</v>
      </c>
      <c r="AA32" s="348">
        <f t="shared" ca="1" si="5"/>
        <v>4</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Mar</v>
      </c>
      <c r="U33" s="186" t="str">
        <f t="shared" ca="1" si="13"/>
        <v>avril</v>
      </c>
      <c r="X33" s="347">
        <f t="shared" ca="1" si="17"/>
        <v>46112</v>
      </c>
      <c r="Y33" s="452" t="str">
        <f t="shared" ca="1" si="14"/>
        <v>Mar. avril , 2026</v>
      </c>
      <c r="Z33" s="143">
        <f t="shared" ca="1" si="4"/>
        <v>30</v>
      </c>
      <c r="AA33" s="348">
        <f t="shared" ca="1" si="5"/>
        <v>4</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Mar</v>
      </c>
      <c r="U34" s="186" t="str">
        <f t="shared" ca="1" si="13"/>
        <v>avril</v>
      </c>
      <c r="X34" s="347">
        <f t="shared" ca="1" si="17"/>
        <v>46112</v>
      </c>
      <c r="Y34" s="452" t="str">
        <f t="shared" ca="1" si="14"/>
        <v>Mar. avril , 2026</v>
      </c>
      <c r="Z34" s="143">
        <f t="shared" ca="1" si="4"/>
        <v>30</v>
      </c>
      <c r="AA34" s="348">
        <f t="shared" ca="1" si="5"/>
        <v>4</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Mar</v>
      </c>
      <c r="U35" s="186" t="str">
        <f t="shared" ca="1" si="13"/>
        <v>avril</v>
      </c>
      <c r="X35" s="347">
        <f t="shared" ca="1" si="17"/>
        <v>46112</v>
      </c>
      <c r="Y35" s="452" t="str">
        <f t="shared" ca="1" si="14"/>
        <v>Mar. avril , 2026</v>
      </c>
      <c r="Z35" s="143">
        <f t="shared" ca="1" si="4"/>
        <v>30</v>
      </c>
      <c r="AA35" s="348">
        <f t="shared" ca="1" si="5"/>
        <v>4</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Mar</v>
      </c>
      <c r="U36" s="186" t="str">
        <f t="shared" ca="1" si="13"/>
        <v>avril</v>
      </c>
      <c r="X36" s="347">
        <f t="shared" ca="1" si="17"/>
        <v>46112</v>
      </c>
      <c r="Y36" s="452" t="str">
        <f t="shared" ca="1" si="14"/>
        <v>Mar. avril , 2026</v>
      </c>
      <c r="Z36" s="143">
        <f t="shared" ca="1" si="4"/>
        <v>30</v>
      </c>
      <c r="AA36" s="348">
        <f t="shared" ca="1" si="5"/>
        <v>4</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Mar</v>
      </c>
      <c r="U37" s="186" t="str">
        <f t="shared" ca="1" si="13"/>
        <v>avril</v>
      </c>
      <c r="X37" s="347">
        <f t="shared" ca="1" si="17"/>
        <v>46112</v>
      </c>
      <c r="Y37" s="452" t="str">
        <f t="shared" ca="1" si="14"/>
        <v>Mar. avril , 2026</v>
      </c>
      <c r="Z37" s="143">
        <f t="shared" ca="1" si="4"/>
        <v>30</v>
      </c>
      <c r="AA37" s="348">
        <f t="shared" ca="1" si="5"/>
        <v>4</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Mar</v>
      </c>
      <c r="U38" s="186" t="str">
        <f t="shared" ca="1" si="13"/>
        <v>avril</v>
      </c>
      <c r="X38" s="347">
        <f t="shared" ca="1" si="17"/>
        <v>46112</v>
      </c>
      <c r="Y38" s="452" t="str">
        <f t="shared" ca="1" si="14"/>
        <v>Mar. avril , 2026</v>
      </c>
      <c r="Z38" s="143">
        <f t="shared" ca="1" si="4"/>
        <v>30</v>
      </c>
      <c r="AA38" s="348">
        <f t="shared" ca="1" si="5"/>
        <v>4</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Mar</v>
      </c>
      <c r="U39" s="186" t="str">
        <f t="shared" ca="1" si="13"/>
        <v>avril</v>
      </c>
      <c r="X39" s="347">
        <f t="shared" ca="1" si="17"/>
        <v>46112</v>
      </c>
      <c r="Y39" s="452" t="str">
        <f t="shared" ca="1" si="14"/>
        <v>Mar. avril , 2026</v>
      </c>
      <c r="Z39" s="143">
        <f t="shared" ca="1" si="4"/>
        <v>30</v>
      </c>
      <c r="AA39" s="348">
        <f t="shared" ca="1" si="5"/>
        <v>4</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Mar</v>
      </c>
      <c r="U40" s="186" t="str">
        <f t="shared" ca="1" si="13"/>
        <v>avril</v>
      </c>
      <c r="X40" s="347">
        <f t="shared" ca="1" si="17"/>
        <v>46112</v>
      </c>
      <c r="Y40" s="452" t="str">
        <f t="shared" ca="1" si="14"/>
        <v>Mar. avril , 2026</v>
      </c>
      <c r="Z40" s="143">
        <f t="shared" ca="1" si="4"/>
        <v>30</v>
      </c>
      <c r="AA40" s="348">
        <f t="shared" ca="1" si="5"/>
        <v>4</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Mar</v>
      </c>
      <c r="U41" s="186" t="str">
        <f t="shared" ca="1" si="13"/>
        <v>avril</v>
      </c>
      <c r="X41" s="347">
        <f t="shared" ca="1" si="17"/>
        <v>46112</v>
      </c>
      <c r="Y41" s="452" t="str">
        <f t="shared" ca="1" si="14"/>
        <v>Mar. avril , 2026</v>
      </c>
      <c r="Z41" s="143">
        <f t="shared" ca="1" si="4"/>
        <v>30</v>
      </c>
      <c r="AA41" s="348">
        <f t="shared" ca="1" si="5"/>
        <v>4</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Mar</v>
      </c>
      <c r="U42" s="186" t="str">
        <f t="shared" ca="1" si="13"/>
        <v>avril</v>
      </c>
      <c r="X42" s="347">
        <f t="shared" ca="1" si="17"/>
        <v>46112</v>
      </c>
      <c r="Y42" s="452" t="str">
        <f t="shared" ca="1" si="14"/>
        <v>Mar. avril , 2026</v>
      </c>
      <c r="Z42" s="143">
        <f t="shared" ca="1" si="4"/>
        <v>30</v>
      </c>
      <c r="AA42" s="348">
        <f t="shared" ca="1" si="5"/>
        <v>4</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Mar</v>
      </c>
      <c r="U43" s="186" t="str">
        <f t="shared" ca="1" si="13"/>
        <v>avril</v>
      </c>
      <c r="X43" s="347">
        <f t="shared" ca="1" si="17"/>
        <v>46112</v>
      </c>
      <c r="Y43" s="452" t="str">
        <f t="shared" ca="1" si="14"/>
        <v>Mar. avril , 2026</v>
      </c>
      <c r="Z43" s="143">
        <f t="shared" ca="1" si="4"/>
        <v>30</v>
      </c>
      <c r="AA43" s="348">
        <f t="shared" ca="1" si="5"/>
        <v>4</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Mar</v>
      </c>
      <c r="U44" s="186" t="str">
        <f t="shared" ca="1" si="13"/>
        <v>avril</v>
      </c>
      <c r="X44" s="347">
        <f t="shared" ca="1" si="17"/>
        <v>46112</v>
      </c>
      <c r="Y44" s="452" t="str">
        <f t="shared" ca="1" si="14"/>
        <v>Mar. avril , 2026</v>
      </c>
      <c r="Z44" s="143">
        <f t="shared" ca="1" si="4"/>
        <v>30</v>
      </c>
      <c r="AA44" s="348">
        <f t="shared" ca="1" si="5"/>
        <v>4</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Mar</v>
      </c>
      <c r="U45" s="186" t="str">
        <f t="shared" ca="1" si="13"/>
        <v>avril</v>
      </c>
      <c r="X45" s="347">
        <f t="shared" ca="1" si="17"/>
        <v>46112</v>
      </c>
      <c r="Y45" s="452" t="str">
        <f t="shared" ca="1" si="14"/>
        <v>Mar. avril , 2026</v>
      </c>
      <c r="Z45" s="143">
        <f t="shared" ca="1" si="4"/>
        <v>30</v>
      </c>
      <c r="AA45" s="348">
        <f t="shared" ca="1" si="5"/>
        <v>4</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Mar</v>
      </c>
      <c r="U46" s="186" t="str">
        <f t="shared" ca="1" si="13"/>
        <v>avril</v>
      </c>
      <c r="X46" s="347">
        <f t="shared" ca="1" si="17"/>
        <v>46112</v>
      </c>
      <c r="Y46" s="452" t="str">
        <f t="shared" ca="1" si="14"/>
        <v>Mar. avril , 2026</v>
      </c>
      <c r="Z46" s="143">
        <f t="shared" ca="1" si="4"/>
        <v>30</v>
      </c>
      <c r="AA46" s="348">
        <f t="shared" ca="1" si="5"/>
        <v>4</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Mar</v>
      </c>
      <c r="U47" s="186" t="str">
        <f t="shared" ca="1" si="13"/>
        <v>avril</v>
      </c>
      <c r="X47" s="347">
        <f t="shared" ca="1" si="17"/>
        <v>46112</v>
      </c>
      <c r="Y47" s="452" t="str">
        <f t="shared" ca="1" si="14"/>
        <v>Mar. avril , 2026</v>
      </c>
      <c r="Z47" s="143">
        <f t="shared" ca="1" si="4"/>
        <v>30</v>
      </c>
      <c r="AA47" s="348">
        <f t="shared" ca="1" si="5"/>
        <v>4</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Mar</v>
      </c>
      <c r="U48" s="186" t="str">
        <f t="shared" ca="1" si="13"/>
        <v>avril</v>
      </c>
      <c r="X48" s="347">
        <f t="shared" ca="1" si="17"/>
        <v>46112</v>
      </c>
      <c r="Y48" s="452" t="str">
        <f t="shared" ca="1" si="14"/>
        <v>Mar. avril , 2026</v>
      </c>
      <c r="Z48" s="143">
        <f t="shared" ca="1" si="4"/>
        <v>30</v>
      </c>
      <c r="AA48" s="348">
        <f t="shared" ca="1" si="5"/>
        <v>4</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Mar</v>
      </c>
      <c r="U49" s="186" t="str">
        <f t="shared" ca="1" si="13"/>
        <v>avril</v>
      </c>
      <c r="X49" s="347">
        <f t="shared" ca="1" si="17"/>
        <v>46112</v>
      </c>
      <c r="Y49" s="452" t="str">
        <f t="shared" ca="1" si="14"/>
        <v>Mar. avril , 2026</v>
      </c>
      <c r="Z49" s="143">
        <f t="shared" ca="1" si="4"/>
        <v>30</v>
      </c>
      <c r="AA49" s="348">
        <f t="shared" ca="1" si="5"/>
        <v>4</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Mar</v>
      </c>
      <c r="U50" s="186" t="str">
        <f t="shared" ca="1" si="13"/>
        <v>avril</v>
      </c>
      <c r="X50" s="347">
        <f t="shared" ca="1" si="17"/>
        <v>46112</v>
      </c>
      <c r="Y50" s="452" t="str">
        <f t="shared" ca="1" si="14"/>
        <v>Mar. avril , 2026</v>
      </c>
      <c r="Z50" s="143">
        <f t="shared" ca="1" si="4"/>
        <v>30</v>
      </c>
      <c r="AA50" s="348">
        <f t="shared" ca="1" si="5"/>
        <v>4</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Mar</v>
      </c>
      <c r="U51" s="186" t="str">
        <f t="shared" ca="1" si="13"/>
        <v>avril</v>
      </c>
      <c r="X51" s="347">
        <f t="shared" ca="1" si="17"/>
        <v>46112</v>
      </c>
      <c r="Y51" s="452" t="str">
        <f t="shared" ca="1" si="14"/>
        <v>Mar. avril , 2026</v>
      </c>
      <c r="Z51" s="143">
        <f t="shared" ca="1" si="4"/>
        <v>30</v>
      </c>
      <c r="AA51" s="348">
        <f t="shared" ca="1" si="5"/>
        <v>4</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Mar</v>
      </c>
      <c r="U52" s="186" t="str">
        <f t="shared" ca="1" si="13"/>
        <v>avril</v>
      </c>
      <c r="X52" s="347">
        <f t="shared" ca="1" si="17"/>
        <v>46112</v>
      </c>
      <c r="Y52" s="452" t="str">
        <f t="shared" ca="1" si="14"/>
        <v>Mar. avril , 2026</v>
      </c>
      <c r="Z52" s="143">
        <f t="shared" ca="1" si="4"/>
        <v>30</v>
      </c>
      <c r="AA52" s="348">
        <f t="shared" ca="1" si="5"/>
        <v>4</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Mar</v>
      </c>
      <c r="U53" s="186" t="str">
        <f t="shared" ca="1" si="13"/>
        <v>avril</v>
      </c>
      <c r="X53" s="347">
        <f t="shared" ca="1" si="17"/>
        <v>46112</v>
      </c>
      <c r="Y53" s="452" t="str">
        <f t="shared" ca="1" si="14"/>
        <v>Mar. avril , 2026</v>
      </c>
      <c r="Z53" s="143">
        <f t="shared" ca="1" si="4"/>
        <v>30</v>
      </c>
      <c r="AA53" s="348">
        <f t="shared" ca="1" si="5"/>
        <v>4</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Mar</v>
      </c>
      <c r="U54" s="186" t="str">
        <f t="shared" ca="1" si="13"/>
        <v>avril</v>
      </c>
      <c r="X54" s="347">
        <f t="shared" ca="1" si="17"/>
        <v>46112</v>
      </c>
      <c r="Y54" s="452" t="str">
        <f t="shared" ca="1" si="14"/>
        <v>Mar. avril , 2026</v>
      </c>
      <c r="Z54" s="143">
        <f t="shared" ca="1" si="4"/>
        <v>30</v>
      </c>
      <c r="AA54" s="348">
        <f t="shared" ca="1" si="5"/>
        <v>4</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Mar</v>
      </c>
      <c r="U55" s="186" t="str">
        <f t="shared" ca="1" si="13"/>
        <v>avril</v>
      </c>
      <c r="X55" s="347">
        <f t="shared" ca="1" si="17"/>
        <v>46112</v>
      </c>
      <c r="Y55" s="452" t="str">
        <f t="shared" ca="1" si="14"/>
        <v>Mar. avril , 2026</v>
      </c>
      <c r="Z55" s="143">
        <f t="shared" ca="1" si="4"/>
        <v>30</v>
      </c>
      <c r="AA55" s="348">
        <f t="shared" ca="1" si="5"/>
        <v>4</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Mar</v>
      </c>
      <c r="U56" s="186" t="str">
        <f t="shared" ca="1" si="13"/>
        <v>avril</v>
      </c>
      <c r="X56" s="347">
        <f t="shared" ca="1" si="17"/>
        <v>46112</v>
      </c>
      <c r="Y56" s="452" t="str">
        <f t="shared" ca="1" si="14"/>
        <v>Mar. avril , 2026</v>
      </c>
      <c r="Z56" s="143">
        <f t="shared" ca="1" si="4"/>
        <v>30</v>
      </c>
      <c r="AA56" s="348">
        <f t="shared" ca="1" si="5"/>
        <v>4</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Mar</v>
      </c>
      <c r="U57" s="186" t="str">
        <f t="shared" ca="1" si="13"/>
        <v>avril</v>
      </c>
      <c r="X57" s="347">
        <f t="shared" ca="1" si="17"/>
        <v>46112</v>
      </c>
      <c r="Y57" s="452" t="str">
        <f t="shared" ca="1" si="14"/>
        <v>Mar. avril , 2026</v>
      </c>
      <c r="Z57" s="143">
        <f t="shared" ca="1" si="4"/>
        <v>30</v>
      </c>
      <c r="AA57" s="348">
        <f t="shared" ca="1" si="5"/>
        <v>4</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Mar</v>
      </c>
      <c r="U58" s="186" t="str">
        <f t="shared" ca="1" si="13"/>
        <v>avril</v>
      </c>
      <c r="X58" s="347">
        <f t="shared" ca="1" si="17"/>
        <v>46112</v>
      </c>
      <c r="Y58" s="452" t="str">
        <f t="shared" ca="1" si="14"/>
        <v>Mar. avril , 2026</v>
      </c>
      <c r="Z58" s="143">
        <f t="shared" ca="1" si="4"/>
        <v>30</v>
      </c>
      <c r="AA58" s="348">
        <f t="shared" ca="1" si="5"/>
        <v>4</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Mar</v>
      </c>
      <c r="U59" s="186" t="str">
        <f t="shared" ca="1" si="13"/>
        <v>avril</v>
      </c>
      <c r="X59" s="347">
        <f t="shared" ca="1" si="17"/>
        <v>46112</v>
      </c>
      <c r="Y59" s="452" t="str">
        <f t="shared" ca="1" si="14"/>
        <v>Mar. avril , 2026</v>
      </c>
      <c r="Z59" s="143">
        <f t="shared" ca="1" si="4"/>
        <v>30</v>
      </c>
      <c r="AA59" s="348">
        <f t="shared" ca="1" si="5"/>
        <v>4</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Mar</v>
      </c>
      <c r="U60" s="186" t="str">
        <f t="shared" ca="1" si="13"/>
        <v>avril</v>
      </c>
      <c r="X60" s="347">
        <f t="shared" ca="1" si="17"/>
        <v>46112</v>
      </c>
      <c r="Y60" s="452" t="str">
        <f t="shared" ca="1" si="14"/>
        <v>Mar. avril , 2026</v>
      </c>
      <c r="Z60" s="143">
        <f t="shared" ca="1" si="4"/>
        <v>30</v>
      </c>
      <c r="AA60" s="348">
        <f t="shared" ca="1" si="5"/>
        <v>4</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Mar</v>
      </c>
      <c r="U61" s="186" t="str">
        <f t="shared" ca="1" si="13"/>
        <v>avril</v>
      </c>
      <c r="X61" s="347">
        <f t="shared" ca="1" si="17"/>
        <v>46112</v>
      </c>
      <c r="Y61" s="452" t="str">
        <f t="shared" ca="1" si="14"/>
        <v>Mar. avril , 2026</v>
      </c>
      <c r="Z61" s="143">
        <f t="shared" ca="1" si="4"/>
        <v>30</v>
      </c>
      <c r="AA61" s="348">
        <f t="shared" ca="1" si="5"/>
        <v>4</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Mar</v>
      </c>
      <c r="U62" s="186" t="str">
        <f t="shared" ca="1" si="13"/>
        <v>avril</v>
      </c>
      <c r="X62" s="347">
        <f t="shared" ca="1" si="17"/>
        <v>46112</v>
      </c>
      <c r="Y62" s="452" t="str">
        <f t="shared" ca="1" si="14"/>
        <v>Mar. avril , 2026</v>
      </c>
      <c r="Z62" s="143">
        <f t="shared" ca="1" si="4"/>
        <v>30</v>
      </c>
      <c r="AA62" s="348">
        <f t="shared" ca="1" si="5"/>
        <v>4</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Mar</v>
      </c>
      <c r="U63" s="186" t="str">
        <f t="shared" ca="1" si="13"/>
        <v>avril</v>
      </c>
      <c r="X63" s="347">
        <f t="shared" ca="1" si="17"/>
        <v>46112</v>
      </c>
      <c r="Y63" s="452" t="str">
        <f t="shared" ca="1" si="14"/>
        <v>Mar. avril , 2026</v>
      </c>
      <c r="Z63" s="143">
        <f t="shared" ca="1" si="4"/>
        <v>30</v>
      </c>
      <c r="AA63" s="348">
        <f t="shared" ca="1" si="5"/>
        <v>4</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Mar</v>
      </c>
      <c r="U64" s="186" t="str">
        <f t="shared" ca="1" si="13"/>
        <v>avril</v>
      </c>
      <c r="X64" s="347">
        <f t="shared" ca="1" si="17"/>
        <v>46112</v>
      </c>
      <c r="Y64" s="452" t="str">
        <f t="shared" ca="1" si="14"/>
        <v>Mar. avril , 2026</v>
      </c>
      <c r="Z64" s="143">
        <f t="shared" ca="1" si="4"/>
        <v>30</v>
      </c>
      <c r="AA64" s="348">
        <f t="shared" ca="1" si="5"/>
        <v>4</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Mar</v>
      </c>
      <c r="U65" s="186" t="str">
        <f t="shared" ca="1" si="13"/>
        <v>avril</v>
      </c>
      <c r="X65" s="347">
        <f t="shared" ca="1" si="17"/>
        <v>46112</v>
      </c>
      <c r="Y65" s="452" t="str">
        <f t="shared" ca="1" si="14"/>
        <v>Mar. avril , 2026</v>
      </c>
      <c r="Z65" s="143">
        <f t="shared" ca="1" si="4"/>
        <v>30</v>
      </c>
      <c r="AA65" s="348">
        <f t="shared" ca="1" si="5"/>
        <v>4</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Mar</v>
      </c>
      <c r="U66" s="186" t="str">
        <f t="shared" ca="1" si="13"/>
        <v>avril</v>
      </c>
      <c r="X66" s="347">
        <f t="shared" ca="1" si="17"/>
        <v>46112</v>
      </c>
      <c r="Y66" s="452" t="str">
        <f t="shared" ca="1" si="14"/>
        <v>Mar. avril , 2026</v>
      </c>
      <c r="Z66" s="143">
        <f t="shared" ca="1" si="4"/>
        <v>30</v>
      </c>
      <c r="AA66" s="348">
        <f t="shared" ca="1" si="5"/>
        <v>4</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Mar</v>
      </c>
      <c r="U67" s="186" t="str">
        <f t="shared" ca="1" si="13"/>
        <v>avril</v>
      </c>
      <c r="X67" s="347">
        <f t="shared" ca="1" si="17"/>
        <v>46112</v>
      </c>
      <c r="Y67" s="452" t="str">
        <f t="shared" ca="1" si="14"/>
        <v>Mar. avril , 2026</v>
      </c>
      <c r="Z67" s="143">
        <f t="shared" ca="1" si="4"/>
        <v>30</v>
      </c>
      <c r="AA67" s="348">
        <f t="shared" ca="1" si="5"/>
        <v>4</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Mar</v>
      </c>
      <c r="U68" s="186" t="str">
        <f t="shared" ca="1" si="13"/>
        <v>avril</v>
      </c>
      <c r="X68" s="347">
        <f t="shared" ca="1" si="17"/>
        <v>46112</v>
      </c>
      <c r="Y68" s="452" t="str">
        <f t="shared" ca="1" si="14"/>
        <v>Mar. avril , 2026</v>
      </c>
      <c r="Z68" s="143">
        <f t="shared" ca="1" si="4"/>
        <v>30</v>
      </c>
      <c r="AA68" s="348">
        <f t="shared" ca="1" si="5"/>
        <v>4</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Mar</v>
      </c>
      <c r="U69" s="186" t="str">
        <f t="shared" ca="1" si="13"/>
        <v>avril</v>
      </c>
      <c r="X69" s="347">
        <f t="shared" ca="1" si="17"/>
        <v>46112</v>
      </c>
      <c r="Y69" s="452" t="str">
        <f t="shared" ca="1" si="14"/>
        <v>Mar. avril , 2026</v>
      </c>
      <c r="Z69" s="143">
        <f t="shared" ca="1" si="4"/>
        <v>30</v>
      </c>
      <c r="AA69" s="348">
        <f t="shared" ca="1" si="5"/>
        <v>4</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Mar</v>
      </c>
      <c r="U70" s="186" t="str">
        <f t="shared" ca="1" si="13"/>
        <v>avril</v>
      </c>
      <c r="X70" s="347">
        <f t="shared" ca="1" si="17"/>
        <v>46112</v>
      </c>
      <c r="Y70" s="452" t="str">
        <f t="shared" ca="1" si="14"/>
        <v>Mar. avril , 2026</v>
      </c>
      <c r="Z70" s="143">
        <f t="shared" ca="1" si="4"/>
        <v>30</v>
      </c>
      <c r="AA70" s="348">
        <f t="shared" ca="1" si="5"/>
        <v>4</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Mar</v>
      </c>
      <c r="U71" s="186" t="str">
        <f t="shared" ca="1" si="13"/>
        <v>avril</v>
      </c>
      <c r="X71" s="347">
        <f t="shared" ca="1" si="17"/>
        <v>46112</v>
      </c>
      <c r="Y71" s="452" t="str">
        <f t="shared" ca="1" si="14"/>
        <v>Mar. avril , 2026</v>
      </c>
      <c r="Z71" s="143">
        <f t="shared" ca="1" si="4"/>
        <v>30</v>
      </c>
      <c r="AA71" s="348">
        <f t="shared" ca="1" si="5"/>
        <v>4</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Mar</v>
      </c>
      <c r="U72" s="186" t="str">
        <f t="shared" ca="1" si="13"/>
        <v>avril</v>
      </c>
      <c r="X72" s="347">
        <f t="shared" ca="1" si="17"/>
        <v>46112</v>
      </c>
      <c r="Y72" s="452" t="str">
        <f t="shared" ca="1" si="14"/>
        <v>Mar. avril , 2026</v>
      </c>
      <c r="Z72" s="143">
        <f t="shared" ca="1" si="4"/>
        <v>30</v>
      </c>
      <c r="AA72" s="348">
        <f t="shared" ca="1" si="5"/>
        <v>4</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Mar</v>
      </c>
      <c r="U73" s="186" t="str">
        <f t="shared" ca="1" si="13"/>
        <v>avril</v>
      </c>
      <c r="X73" s="347">
        <f t="shared" ca="1" si="17"/>
        <v>46112</v>
      </c>
      <c r="Y73" s="452" t="str">
        <f t="shared" ca="1" si="14"/>
        <v>Mar. avril , 2026</v>
      </c>
      <c r="Z73" s="143">
        <f t="shared" ca="1" si="4"/>
        <v>30</v>
      </c>
      <c r="AA73" s="348">
        <f t="shared" ca="1" si="5"/>
        <v>4</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Mar</v>
      </c>
      <c r="U74" s="186" t="str">
        <f t="shared" ca="1" si="13"/>
        <v>avril</v>
      </c>
      <c r="X74" s="347">
        <f t="shared" ca="1" si="17"/>
        <v>46112</v>
      </c>
      <c r="Y74" s="452" t="str">
        <f t="shared" ca="1" si="14"/>
        <v>Mar. avril , 2026</v>
      </c>
      <c r="Z74" s="143">
        <f t="shared" ca="1" si="4"/>
        <v>30</v>
      </c>
      <c r="AA74" s="348">
        <f t="shared" ca="1" si="5"/>
        <v>4</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Mar</v>
      </c>
      <c r="U75" s="186" t="str">
        <f t="shared" ca="1" si="13"/>
        <v>avril</v>
      </c>
      <c r="X75" s="347">
        <f t="shared" ca="1" si="17"/>
        <v>46112</v>
      </c>
      <c r="Y75" s="452" t="str">
        <f t="shared" ca="1" si="14"/>
        <v>Mar. avril , 2026</v>
      </c>
      <c r="Z75" s="143">
        <f t="shared" ca="1" si="4"/>
        <v>30</v>
      </c>
      <c r="AA75" s="348">
        <f t="shared" ca="1" si="5"/>
        <v>4</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Mar</v>
      </c>
      <c r="U76" s="186" t="str">
        <f t="shared" ca="1" si="13"/>
        <v>avril</v>
      </c>
      <c r="X76" s="347">
        <f t="shared" ca="1" si="17"/>
        <v>46112</v>
      </c>
      <c r="Y76" s="452" t="str">
        <f t="shared" ca="1" si="14"/>
        <v>Mar. avril , 2026</v>
      </c>
      <c r="Z76" s="143">
        <f t="shared" ca="1" si="4"/>
        <v>30</v>
      </c>
      <c r="AA76" s="348">
        <f t="shared" ca="1" si="5"/>
        <v>4</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Mar</v>
      </c>
      <c r="U77" s="186" t="str">
        <f t="shared" ca="1" si="13"/>
        <v>avril</v>
      </c>
      <c r="X77" s="347">
        <f t="shared" ca="1" si="17"/>
        <v>46112</v>
      </c>
      <c r="Y77" s="452" t="str">
        <f t="shared" ca="1" si="14"/>
        <v>Mar. avril , 2026</v>
      </c>
      <c r="Z77" s="143">
        <f t="shared" ca="1" si="4"/>
        <v>30</v>
      </c>
      <c r="AA77" s="348">
        <f t="shared" ca="1" si="5"/>
        <v>4</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Mar</v>
      </c>
      <c r="U78" s="186" t="str">
        <f t="shared" ca="1" si="13"/>
        <v>avril</v>
      </c>
      <c r="X78" s="347">
        <f t="shared" ca="1" si="17"/>
        <v>46112</v>
      </c>
      <c r="Y78" s="452" t="str">
        <f t="shared" ca="1" si="14"/>
        <v>Mar. avril , 2026</v>
      </c>
      <c r="Z78" s="143">
        <f t="shared" ca="1" si="4"/>
        <v>30</v>
      </c>
      <c r="AA78" s="348">
        <f t="shared" ca="1" si="5"/>
        <v>4</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Mar</v>
      </c>
      <c r="U79" s="186" t="str">
        <f t="shared" ca="1" si="13"/>
        <v>avril</v>
      </c>
      <c r="X79" s="347">
        <f t="shared" ca="1" si="17"/>
        <v>46112</v>
      </c>
      <c r="Y79" s="452" t="str">
        <f t="shared" ca="1" si="14"/>
        <v>Mar. avril , 2026</v>
      </c>
      <c r="Z79" s="143">
        <f t="shared" ca="1" si="4"/>
        <v>30</v>
      </c>
      <c r="AA79" s="348">
        <f t="shared" ca="1" si="5"/>
        <v>4</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Mar</v>
      </c>
      <c r="U80" s="186" t="str">
        <f t="shared" ca="1" si="13"/>
        <v>avril</v>
      </c>
      <c r="X80" s="347">
        <f t="shared" ca="1" si="17"/>
        <v>46112</v>
      </c>
      <c r="Y80" s="452" t="str">
        <f t="shared" ca="1" si="14"/>
        <v>Mar. avril , 2026</v>
      </c>
      <c r="Z80" s="143">
        <f t="shared" ca="1" si="4"/>
        <v>30</v>
      </c>
      <c r="AA80" s="348">
        <f t="shared" ca="1" si="5"/>
        <v>4</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Mar</v>
      </c>
      <c r="U81" s="186" t="str">
        <f t="shared" ca="1" si="13"/>
        <v>avril</v>
      </c>
      <c r="X81" s="347">
        <f t="shared" ca="1" si="17"/>
        <v>46112</v>
      </c>
      <c r="Y81" s="452" t="str">
        <f t="shared" ca="1" si="14"/>
        <v>Mar. avril , 2026</v>
      </c>
      <c r="Z81" s="143">
        <f t="shared" ca="1" si="4"/>
        <v>30</v>
      </c>
      <c r="AA81" s="348">
        <f t="shared" ca="1" si="5"/>
        <v>4</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Mar</v>
      </c>
      <c r="U82" s="186" t="str">
        <f t="shared" ca="1" si="13"/>
        <v>avril</v>
      </c>
      <c r="X82" s="347">
        <f t="shared" ca="1" si="17"/>
        <v>46112</v>
      </c>
      <c r="Y82" s="452" t="str">
        <f t="shared" ca="1" si="14"/>
        <v>Mar. avril , 2026</v>
      </c>
      <c r="Z82" s="143">
        <f t="shared" ca="1" si="4"/>
        <v>30</v>
      </c>
      <c r="AA82" s="348">
        <f t="shared" ca="1" si="5"/>
        <v>4</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Mar</v>
      </c>
      <c r="U83" s="186" t="str">
        <f t="shared" ca="1" si="13"/>
        <v>avril</v>
      </c>
      <c r="X83" s="347">
        <f t="shared" ca="1" si="17"/>
        <v>46112</v>
      </c>
      <c r="Y83" s="452" t="str">
        <f t="shared" ca="1" si="14"/>
        <v>Mar. avril , 2026</v>
      </c>
      <c r="Z83" s="143">
        <f t="shared" ca="1" si="4"/>
        <v>30</v>
      </c>
      <c r="AA83" s="348">
        <f t="shared" ca="1" si="5"/>
        <v>4</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Mar</v>
      </c>
      <c r="U84" s="186" t="str">
        <f t="shared" ca="1" si="13"/>
        <v>avril</v>
      </c>
      <c r="X84" s="347">
        <f t="shared" ca="1" si="17"/>
        <v>46112</v>
      </c>
      <c r="Y84" s="452" t="str">
        <f t="shared" ca="1" si="14"/>
        <v>Mar. avril , 2026</v>
      </c>
      <c r="Z84" s="143">
        <f t="shared" ref="Z84:Z147" ca="1" si="24">MIN(R84,$AF$5)</f>
        <v>30</v>
      </c>
      <c r="AA84" s="348">
        <f t="shared" ref="AA84:AA147" ca="1" si="25">$AD$6</f>
        <v>4</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Mar</v>
      </c>
      <c r="U85" s="186" t="str">
        <f t="shared" ref="U85:U148" ca="1" si="32">$U$19</f>
        <v>avril</v>
      </c>
      <c r="X85" s="347">
        <f t="shared" ca="1" si="17"/>
        <v>46112</v>
      </c>
      <c r="Y85" s="452" t="str">
        <f t="shared" ref="Y85:Y148" ca="1" si="33">IF(Y79="f",T85&amp;". "&amp;" "&amp;R85&amp;" "&amp;U85&amp;" "&amp;$AE$7,T85&amp;". "&amp;U85&amp;" "&amp;R85&amp;", "&amp;$AE$7)</f>
        <v>Mar. avril , 2026</v>
      </c>
      <c r="Z85" s="143">
        <f t="shared" ca="1" si="24"/>
        <v>30</v>
      </c>
      <c r="AA85" s="348">
        <f t="shared" ca="1" si="25"/>
        <v>4</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Mar</v>
      </c>
      <c r="U86" s="186" t="str">
        <f t="shared" ca="1" si="32"/>
        <v>avril</v>
      </c>
      <c r="X86" s="347">
        <f t="shared" ref="X86:X149" ca="1" si="36">$AE$8+D86</f>
        <v>46112</v>
      </c>
      <c r="Y86" s="452" t="str">
        <f t="shared" ca="1" si="33"/>
        <v>Mar. avril , 2026</v>
      </c>
      <c r="Z86" s="143">
        <f t="shared" ca="1" si="24"/>
        <v>30</v>
      </c>
      <c r="AA86" s="348">
        <f t="shared" ca="1" si="25"/>
        <v>4</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Mar</v>
      </c>
      <c r="U87" s="186" t="str">
        <f t="shared" ca="1" si="32"/>
        <v>avril</v>
      </c>
      <c r="X87" s="347">
        <f t="shared" ca="1" si="36"/>
        <v>46112</v>
      </c>
      <c r="Y87" s="452" t="str">
        <f t="shared" ca="1" si="33"/>
        <v>Mar. avril , 2026</v>
      </c>
      <c r="Z87" s="143">
        <f t="shared" ca="1" si="24"/>
        <v>30</v>
      </c>
      <c r="AA87" s="348">
        <f t="shared" ca="1" si="25"/>
        <v>4</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Mar</v>
      </c>
      <c r="U88" s="186" t="str">
        <f t="shared" ca="1" si="32"/>
        <v>avril</v>
      </c>
      <c r="X88" s="347">
        <f t="shared" ca="1" si="36"/>
        <v>46112</v>
      </c>
      <c r="Y88" s="452" t="str">
        <f t="shared" ca="1" si="33"/>
        <v>Mar. avril , 2026</v>
      </c>
      <c r="Z88" s="143">
        <f t="shared" ca="1" si="24"/>
        <v>30</v>
      </c>
      <c r="AA88" s="348">
        <f t="shared" ca="1" si="25"/>
        <v>4</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Mar</v>
      </c>
      <c r="U89" s="186" t="str">
        <f t="shared" ca="1" si="32"/>
        <v>avril</v>
      </c>
      <c r="X89" s="347">
        <f t="shared" ca="1" si="36"/>
        <v>46112</v>
      </c>
      <c r="Y89" s="452" t="str">
        <f t="shared" ca="1" si="33"/>
        <v>Mar. avril , 2026</v>
      </c>
      <c r="Z89" s="143">
        <f t="shared" ca="1" si="24"/>
        <v>30</v>
      </c>
      <c r="AA89" s="348">
        <f t="shared" ca="1" si="25"/>
        <v>4</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Mar</v>
      </c>
      <c r="U90" s="186" t="str">
        <f t="shared" ca="1" si="32"/>
        <v>avril</v>
      </c>
      <c r="X90" s="347">
        <f t="shared" ca="1" si="36"/>
        <v>46112</v>
      </c>
      <c r="Y90" s="452" t="str">
        <f t="shared" ca="1" si="33"/>
        <v>Mar. avril , 2026</v>
      </c>
      <c r="Z90" s="143">
        <f t="shared" ca="1" si="24"/>
        <v>30</v>
      </c>
      <c r="AA90" s="348">
        <f t="shared" ca="1" si="25"/>
        <v>4</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Mar</v>
      </c>
      <c r="U91" s="186" t="str">
        <f t="shared" ca="1" si="32"/>
        <v>avril</v>
      </c>
      <c r="X91" s="347">
        <f t="shared" ca="1" si="36"/>
        <v>46112</v>
      </c>
      <c r="Y91" s="452" t="str">
        <f t="shared" ca="1" si="33"/>
        <v>Mar. avril , 2026</v>
      </c>
      <c r="Z91" s="143">
        <f t="shared" ca="1" si="24"/>
        <v>30</v>
      </c>
      <c r="AA91" s="348">
        <f t="shared" ca="1" si="25"/>
        <v>4</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Mar</v>
      </c>
      <c r="U92" s="186" t="str">
        <f t="shared" ca="1" si="32"/>
        <v>avril</v>
      </c>
      <c r="X92" s="347">
        <f t="shared" ca="1" si="36"/>
        <v>46112</v>
      </c>
      <c r="Y92" s="452" t="str">
        <f t="shared" ca="1" si="33"/>
        <v>Mar. avril , 2026</v>
      </c>
      <c r="Z92" s="143">
        <f t="shared" ca="1" si="24"/>
        <v>30</v>
      </c>
      <c r="AA92" s="348">
        <f t="shared" ca="1" si="25"/>
        <v>4</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Mar</v>
      </c>
      <c r="U93" s="186" t="str">
        <f t="shared" ca="1" si="32"/>
        <v>avril</v>
      </c>
      <c r="X93" s="347">
        <f t="shared" ca="1" si="36"/>
        <v>46112</v>
      </c>
      <c r="Y93" s="452" t="str">
        <f t="shared" ca="1" si="33"/>
        <v>Mar. avril , 2026</v>
      </c>
      <c r="Z93" s="143">
        <f t="shared" ca="1" si="24"/>
        <v>30</v>
      </c>
      <c r="AA93" s="348">
        <f t="shared" ca="1" si="25"/>
        <v>4</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Mar</v>
      </c>
      <c r="U94" s="186" t="str">
        <f t="shared" ca="1" si="32"/>
        <v>avril</v>
      </c>
      <c r="X94" s="347">
        <f t="shared" ca="1" si="36"/>
        <v>46112</v>
      </c>
      <c r="Y94" s="452" t="str">
        <f t="shared" ca="1" si="33"/>
        <v>Mar. avril , 2026</v>
      </c>
      <c r="Z94" s="143">
        <f t="shared" ca="1" si="24"/>
        <v>30</v>
      </c>
      <c r="AA94" s="348">
        <f t="shared" ca="1" si="25"/>
        <v>4</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Mar</v>
      </c>
      <c r="U95" s="186" t="str">
        <f t="shared" ca="1" si="32"/>
        <v>avril</v>
      </c>
      <c r="X95" s="347">
        <f t="shared" ca="1" si="36"/>
        <v>46112</v>
      </c>
      <c r="Y95" s="452" t="str">
        <f t="shared" ca="1" si="33"/>
        <v>Mar. avril , 2026</v>
      </c>
      <c r="Z95" s="143">
        <f t="shared" ca="1" si="24"/>
        <v>30</v>
      </c>
      <c r="AA95" s="348">
        <f t="shared" ca="1" si="25"/>
        <v>4</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Mar</v>
      </c>
      <c r="U96" s="186" t="str">
        <f t="shared" ca="1" si="32"/>
        <v>avril</v>
      </c>
      <c r="X96" s="347">
        <f t="shared" ca="1" si="36"/>
        <v>46112</v>
      </c>
      <c r="Y96" s="452" t="str">
        <f t="shared" ca="1" si="33"/>
        <v>Mar. avril , 2026</v>
      </c>
      <c r="Z96" s="143">
        <f t="shared" ca="1" si="24"/>
        <v>30</v>
      </c>
      <c r="AA96" s="348">
        <f t="shared" ca="1" si="25"/>
        <v>4</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Mar</v>
      </c>
      <c r="U97" s="186" t="str">
        <f t="shared" ca="1" si="32"/>
        <v>avril</v>
      </c>
      <c r="X97" s="347">
        <f t="shared" ca="1" si="36"/>
        <v>46112</v>
      </c>
      <c r="Y97" s="452" t="str">
        <f t="shared" ca="1" si="33"/>
        <v>Mar. avril , 2026</v>
      </c>
      <c r="Z97" s="143">
        <f t="shared" ca="1" si="24"/>
        <v>30</v>
      </c>
      <c r="AA97" s="348">
        <f t="shared" ca="1" si="25"/>
        <v>4</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Mar</v>
      </c>
      <c r="U98" s="186" t="str">
        <f t="shared" ca="1" si="32"/>
        <v>avril</v>
      </c>
      <c r="X98" s="347">
        <f t="shared" ca="1" si="36"/>
        <v>46112</v>
      </c>
      <c r="Y98" s="452" t="str">
        <f t="shared" ca="1" si="33"/>
        <v>Mar. avril , 2026</v>
      </c>
      <c r="Z98" s="143">
        <f t="shared" ca="1" si="24"/>
        <v>30</v>
      </c>
      <c r="AA98" s="348">
        <f t="shared" ca="1" si="25"/>
        <v>4</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Mar</v>
      </c>
      <c r="U99" s="186" t="str">
        <f t="shared" ca="1" si="32"/>
        <v>avril</v>
      </c>
      <c r="X99" s="347">
        <f t="shared" ca="1" si="36"/>
        <v>46112</v>
      </c>
      <c r="Y99" s="452" t="str">
        <f t="shared" ca="1" si="33"/>
        <v>Mar. avril , 2026</v>
      </c>
      <c r="Z99" s="143">
        <f t="shared" ca="1" si="24"/>
        <v>30</v>
      </c>
      <c r="AA99" s="348">
        <f t="shared" ca="1" si="25"/>
        <v>4</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Mar</v>
      </c>
      <c r="U100" s="186" t="str">
        <f t="shared" ca="1" si="32"/>
        <v>avril</v>
      </c>
      <c r="X100" s="347">
        <f t="shared" ca="1" si="36"/>
        <v>46112</v>
      </c>
      <c r="Y100" s="452" t="str">
        <f t="shared" ca="1" si="33"/>
        <v>Mar. avril , 2026</v>
      </c>
      <c r="Z100" s="143">
        <f t="shared" ca="1" si="24"/>
        <v>30</v>
      </c>
      <c r="AA100" s="348">
        <f t="shared" ca="1" si="25"/>
        <v>4</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Mar</v>
      </c>
      <c r="U101" s="186" t="str">
        <f t="shared" ca="1" si="32"/>
        <v>avril</v>
      </c>
      <c r="X101" s="347">
        <f t="shared" ca="1" si="36"/>
        <v>46112</v>
      </c>
      <c r="Y101" s="452" t="str">
        <f t="shared" ca="1" si="33"/>
        <v>Mar. avril , 2026</v>
      </c>
      <c r="Z101" s="143">
        <f t="shared" ca="1" si="24"/>
        <v>30</v>
      </c>
      <c r="AA101" s="348">
        <f t="shared" ca="1" si="25"/>
        <v>4</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Mar</v>
      </c>
      <c r="U102" s="186" t="str">
        <f t="shared" ca="1" si="32"/>
        <v>avril</v>
      </c>
      <c r="X102" s="347">
        <f t="shared" ca="1" si="36"/>
        <v>46112</v>
      </c>
      <c r="Y102" s="452" t="str">
        <f t="shared" ca="1" si="33"/>
        <v>Mar. avril , 2026</v>
      </c>
      <c r="Z102" s="143">
        <f t="shared" ca="1" si="24"/>
        <v>30</v>
      </c>
      <c r="AA102" s="348">
        <f t="shared" ca="1" si="25"/>
        <v>4</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Mar</v>
      </c>
      <c r="U103" s="186" t="str">
        <f t="shared" ca="1" si="32"/>
        <v>avril</v>
      </c>
      <c r="X103" s="347">
        <f t="shared" ca="1" si="36"/>
        <v>46112</v>
      </c>
      <c r="Y103" s="452" t="str">
        <f t="shared" ca="1" si="33"/>
        <v>Mar. avril , 2026</v>
      </c>
      <c r="Z103" s="143">
        <f t="shared" ca="1" si="24"/>
        <v>30</v>
      </c>
      <c r="AA103" s="348">
        <f t="shared" ca="1" si="25"/>
        <v>4</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Mar</v>
      </c>
      <c r="U104" s="186" t="str">
        <f t="shared" ca="1" si="32"/>
        <v>avril</v>
      </c>
      <c r="X104" s="347">
        <f t="shared" ca="1" si="36"/>
        <v>46112</v>
      </c>
      <c r="Y104" s="452" t="str">
        <f t="shared" ca="1" si="33"/>
        <v>Mar. avril , 2026</v>
      </c>
      <c r="Z104" s="143">
        <f t="shared" ca="1" si="24"/>
        <v>30</v>
      </c>
      <c r="AA104" s="348">
        <f t="shared" ca="1" si="25"/>
        <v>4</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Mar</v>
      </c>
      <c r="U105" s="186" t="str">
        <f t="shared" ca="1" si="32"/>
        <v>avril</v>
      </c>
      <c r="X105" s="347">
        <f t="shared" ca="1" si="36"/>
        <v>46112</v>
      </c>
      <c r="Y105" s="452" t="str">
        <f t="shared" ca="1" si="33"/>
        <v>Mar. avril , 2026</v>
      </c>
      <c r="Z105" s="143">
        <f t="shared" ca="1" si="24"/>
        <v>30</v>
      </c>
      <c r="AA105" s="348">
        <f t="shared" ca="1" si="25"/>
        <v>4</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Mar</v>
      </c>
      <c r="U106" s="186" t="str">
        <f t="shared" ca="1" si="32"/>
        <v>avril</v>
      </c>
      <c r="X106" s="347">
        <f t="shared" ca="1" si="36"/>
        <v>46112</v>
      </c>
      <c r="Y106" s="452" t="str">
        <f t="shared" ca="1" si="33"/>
        <v>Mar. avril , 2026</v>
      </c>
      <c r="Z106" s="143">
        <f t="shared" ca="1" si="24"/>
        <v>30</v>
      </c>
      <c r="AA106" s="348">
        <f t="shared" ca="1" si="25"/>
        <v>4</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Mar</v>
      </c>
      <c r="U107" s="186" t="str">
        <f t="shared" ca="1" si="32"/>
        <v>avril</v>
      </c>
      <c r="X107" s="347">
        <f t="shared" ca="1" si="36"/>
        <v>46112</v>
      </c>
      <c r="Y107" s="452" t="str">
        <f t="shared" ca="1" si="33"/>
        <v>Mar. avril , 2026</v>
      </c>
      <c r="Z107" s="143">
        <f t="shared" ca="1" si="24"/>
        <v>30</v>
      </c>
      <c r="AA107" s="348">
        <f t="shared" ca="1" si="25"/>
        <v>4</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Mar</v>
      </c>
      <c r="U108" s="186" t="str">
        <f t="shared" ca="1" si="32"/>
        <v>avril</v>
      </c>
      <c r="X108" s="347">
        <f t="shared" ca="1" si="36"/>
        <v>46112</v>
      </c>
      <c r="Y108" s="452" t="str">
        <f t="shared" ca="1" si="33"/>
        <v>Mar. avril , 2026</v>
      </c>
      <c r="Z108" s="143">
        <f t="shared" ca="1" si="24"/>
        <v>30</v>
      </c>
      <c r="AA108" s="348">
        <f t="shared" ca="1" si="25"/>
        <v>4</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Mar</v>
      </c>
      <c r="U109" s="186" t="str">
        <f t="shared" ca="1" si="32"/>
        <v>avril</v>
      </c>
      <c r="X109" s="347">
        <f t="shared" ca="1" si="36"/>
        <v>46112</v>
      </c>
      <c r="Y109" s="452" t="str">
        <f t="shared" ca="1" si="33"/>
        <v>Mar. avril , 2026</v>
      </c>
      <c r="Z109" s="143">
        <f t="shared" ca="1" si="24"/>
        <v>30</v>
      </c>
      <c r="AA109" s="348">
        <f t="shared" ca="1" si="25"/>
        <v>4</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Mar</v>
      </c>
      <c r="U110" s="186" t="str">
        <f t="shared" ca="1" si="32"/>
        <v>avril</v>
      </c>
      <c r="X110" s="347">
        <f t="shared" ca="1" si="36"/>
        <v>46112</v>
      </c>
      <c r="Y110" s="452" t="str">
        <f t="shared" ca="1" si="33"/>
        <v>Mar. avril , 2026</v>
      </c>
      <c r="Z110" s="143">
        <f t="shared" ca="1" si="24"/>
        <v>30</v>
      </c>
      <c r="AA110" s="348">
        <f t="shared" ca="1" si="25"/>
        <v>4</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Mar</v>
      </c>
      <c r="U111" s="186" t="str">
        <f t="shared" ca="1" si="32"/>
        <v>avril</v>
      </c>
      <c r="X111" s="347">
        <f t="shared" ca="1" si="36"/>
        <v>46112</v>
      </c>
      <c r="Y111" s="452" t="str">
        <f t="shared" ca="1" si="33"/>
        <v>Mar. avril , 2026</v>
      </c>
      <c r="Z111" s="143">
        <f t="shared" ca="1" si="24"/>
        <v>30</v>
      </c>
      <c r="AA111" s="348">
        <f t="shared" ca="1" si="25"/>
        <v>4</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Mar</v>
      </c>
      <c r="U112" s="186" t="str">
        <f t="shared" ca="1" si="32"/>
        <v>avril</v>
      </c>
      <c r="X112" s="347">
        <f t="shared" ca="1" si="36"/>
        <v>46112</v>
      </c>
      <c r="Y112" s="452" t="str">
        <f t="shared" ca="1" si="33"/>
        <v>Mar. avril , 2026</v>
      </c>
      <c r="Z112" s="143">
        <f t="shared" ca="1" si="24"/>
        <v>30</v>
      </c>
      <c r="AA112" s="348">
        <f t="shared" ca="1" si="25"/>
        <v>4</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Mar</v>
      </c>
      <c r="U113" s="186" t="str">
        <f t="shared" ca="1" si="32"/>
        <v>avril</v>
      </c>
      <c r="X113" s="347">
        <f t="shared" ca="1" si="36"/>
        <v>46112</v>
      </c>
      <c r="Y113" s="452" t="str">
        <f t="shared" ca="1" si="33"/>
        <v>Mar. avril , 2026</v>
      </c>
      <c r="Z113" s="143">
        <f t="shared" ca="1" si="24"/>
        <v>30</v>
      </c>
      <c r="AA113" s="348">
        <f t="shared" ca="1" si="25"/>
        <v>4</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Mar</v>
      </c>
      <c r="U114" s="186" t="str">
        <f t="shared" ca="1" si="32"/>
        <v>avril</v>
      </c>
      <c r="X114" s="347">
        <f t="shared" ca="1" si="36"/>
        <v>46112</v>
      </c>
      <c r="Y114" s="452" t="str">
        <f t="shared" ca="1" si="33"/>
        <v>Mar. avril , 2026</v>
      </c>
      <c r="Z114" s="143">
        <f t="shared" ca="1" si="24"/>
        <v>30</v>
      </c>
      <c r="AA114" s="348">
        <f t="shared" ca="1" si="25"/>
        <v>4</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Mar</v>
      </c>
      <c r="U115" s="186" t="str">
        <f t="shared" ca="1" si="32"/>
        <v>avril</v>
      </c>
      <c r="X115" s="347">
        <f t="shared" ca="1" si="36"/>
        <v>46112</v>
      </c>
      <c r="Y115" s="452" t="str">
        <f t="shared" ca="1" si="33"/>
        <v>Mar. avril , 2026</v>
      </c>
      <c r="Z115" s="143">
        <f t="shared" ca="1" si="24"/>
        <v>30</v>
      </c>
      <c r="AA115" s="348">
        <f t="shared" ca="1" si="25"/>
        <v>4</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Mar</v>
      </c>
      <c r="U116" s="186" t="str">
        <f t="shared" ca="1" si="32"/>
        <v>avril</v>
      </c>
      <c r="X116" s="347">
        <f t="shared" ca="1" si="36"/>
        <v>46112</v>
      </c>
      <c r="Y116" s="452" t="str">
        <f t="shared" ca="1" si="33"/>
        <v>Mar. avril , 2026</v>
      </c>
      <c r="Z116" s="143">
        <f t="shared" ca="1" si="24"/>
        <v>30</v>
      </c>
      <c r="AA116" s="348">
        <f t="shared" ca="1" si="25"/>
        <v>4</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Mar</v>
      </c>
      <c r="U117" s="186" t="str">
        <f t="shared" ca="1" si="32"/>
        <v>avril</v>
      </c>
      <c r="X117" s="347">
        <f t="shared" ca="1" si="36"/>
        <v>46112</v>
      </c>
      <c r="Y117" s="452" t="str">
        <f t="shared" ca="1" si="33"/>
        <v>Mar. avril , 2026</v>
      </c>
      <c r="Z117" s="143">
        <f t="shared" ca="1" si="24"/>
        <v>30</v>
      </c>
      <c r="AA117" s="348">
        <f t="shared" ca="1" si="25"/>
        <v>4</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Mar</v>
      </c>
      <c r="U118" s="186" t="str">
        <f t="shared" ca="1" si="32"/>
        <v>avril</v>
      </c>
      <c r="X118" s="347">
        <f t="shared" ca="1" si="36"/>
        <v>46112</v>
      </c>
      <c r="Y118" s="452" t="str">
        <f t="shared" ca="1" si="33"/>
        <v>Mar. avril , 2026</v>
      </c>
      <c r="Z118" s="143">
        <f t="shared" ca="1" si="24"/>
        <v>30</v>
      </c>
      <c r="AA118" s="348">
        <f t="shared" ca="1" si="25"/>
        <v>4</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Mar</v>
      </c>
      <c r="U119" s="186" t="str">
        <f t="shared" ca="1" si="32"/>
        <v>avril</v>
      </c>
      <c r="X119" s="347">
        <f t="shared" ca="1" si="36"/>
        <v>46112</v>
      </c>
      <c r="Y119" s="452" t="str">
        <f t="shared" ca="1" si="33"/>
        <v>Mar. avril , 2026</v>
      </c>
      <c r="Z119" s="143">
        <f t="shared" ca="1" si="24"/>
        <v>30</v>
      </c>
      <c r="AA119" s="348">
        <f t="shared" ca="1" si="25"/>
        <v>4</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Mar</v>
      </c>
      <c r="U120" s="186" t="str">
        <f t="shared" ca="1" si="32"/>
        <v>avril</v>
      </c>
      <c r="X120" s="347">
        <f t="shared" ca="1" si="36"/>
        <v>46112</v>
      </c>
      <c r="Y120" s="452" t="str">
        <f t="shared" ca="1" si="33"/>
        <v>Mar. avril , 2026</v>
      </c>
      <c r="Z120" s="143">
        <f t="shared" ca="1" si="24"/>
        <v>30</v>
      </c>
      <c r="AA120" s="348">
        <f t="shared" ca="1" si="25"/>
        <v>4</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Mar</v>
      </c>
      <c r="U121" s="186" t="str">
        <f t="shared" ca="1" si="32"/>
        <v>avril</v>
      </c>
      <c r="X121" s="347">
        <f t="shared" ca="1" si="36"/>
        <v>46112</v>
      </c>
      <c r="Y121" s="452" t="str">
        <f t="shared" ca="1" si="33"/>
        <v>Mar. avril , 2026</v>
      </c>
      <c r="Z121" s="143">
        <f t="shared" ca="1" si="24"/>
        <v>30</v>
      </c>
      <c r="AA121" s="348">
        <f t="shared" ca="1" si="25"/>
        <v>4</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Mar</v>
      </c>
      <c r="U122" s="186" t="str">
        <f t="shared" ca="1" si="32"/>
        <v>avril</v>
      </c>
      <c r="X122" s="347">
        <f t="shared" ca="1" si="36"/>
        <v>46112</v>
      </c>
      <c r="Y122" s="452" t="str">
        <f t="shared" ca="1" si="33"/>
        <v>Mar. avril , 2026</v>
      </c>
      <c r="Z122" s="143">
        <f t="shared" ca="1" si="24"/>
        <v>30</v>
      </c>
      <c r="AA122" s="348">
        <f t="shared" ca="1" si="25"/>
        <v>4</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Mar</v>
      </c>
      <c r="U123" s="186" t="str">
        <f t="shared" ca="1" si="32"/>
        <v>avril</v>
      </c>
      <c r="X123" s="347">
        <f t="shared" ca="1" si="36"/>
        <v>46112</v>
      </c>
      <c r="Y123" s="452" t="str">
        <f t="shared" ca="1" si="33"/>
        <v>Mar. avril , 2026</v>
      </c>
      <c r="Z123" s="143">
        <f t="shared" ca="1" si="24"/>
        <v>30</v>
      </c>
      <c r="AA123" s="348">
        <f t="shared" ca="1" si="25"/>
        <v>4</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Mar</v>
      </c>
      <c r="U124" s="186" t="str">
        <f t="shared" ca="1" si="32"/>
        <v>avril</v>
      </c>
      <c r="X124" s="347">
        <f t="shared" ca="1" si="36"/>
        <v>46112</v>
      </c>
      <c r="Y124" s="452" t="str">
        <f t="shared" ca="1" si="33"/>
        <v>Mar. avril , 2026</v>
      </c>
      <c r="Z124" s="143">
        <f t="shared" ca="1" si="24"/>
        <v>30</v>
      </c>
      <c r="AA124" s="348">
        <f t="shared" ca="1" si="25"/>
        <v>4</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Mar</v>
      </c>
      <c r="U125" s="186" t="str">
        <f t="shared" ca="1" si="32"/>
        <v>avril</v>
      </c>
      <c r="X125" s="347">
        <f t="shared" ca="1" si="36"/>
        <v>46112</v>
      </c>
      <c r="Y125" s="452" t="str">
        <f t="shared" ca="1" si="33"/>
        <v>Mar. avril , 2026</v>
      </c>
      <c r="Z125" s="143">
        <f t="shared" ca="1" si="24"/>
        <v>30</v>
      </c>
      <c r="AA125" s="348">
        <f t="shared" ca="1" si="25"/>
        <v>4</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Mar</v>
      </c>
      <c r="U126" s="186" t="str">
        <f t="shared" ca="1" si="32"/>
        <v>avril</v>
      </c>
      <c r="X126" s="347">
        <f t="shared" ca="1" si="36"/>
        <v>46112</v>
      </c>
      <c r="Y126" s="452" t="str">
        <f t="shared" ca="1" si="33"/>
        <v>Mar. avril , 2026</v>
      </c>
      <c r="Z126" s="143">
        <f t="shared" ca="1" si="24"/>
        <v>30</v>
      </c>
      <c r="AA126" s="348">
        <f t="shared" ca="1" si="25"/>
        <v>4</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Mar</v>
      </c>
      <c r="U127" s="186" t="str">
        <f t="shared" ca="1" si="32"/>
        <v>avril</v>
      </c>
      <c r="X127" s="347">
        <f t="shared" ca="1" si="36"/>
        <v>46112</v>
      </c>
      <c r="Y127" s="452" t="str">
        <f t="shared" ca="1" si="33"/>
        <v>Mar. avril , 2026</v>
      </c>
      <c r="Z127" s="143">
        <f t="shared" ca="1" si="24"/>
        <v>30</v>
      </c>
      <c r="AA127" s="348">
        <f t="shared" ca="1" si="25"/>
        <v>4</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Mar</v>
      </c>
      <c r="U128" s="186" t="str">
        <f t="shared" ca="1" si="32"/>
        <v>avril</v>
      </c>
      <c r="X128" s="347">
        <f t="shared" ca="1" si="36"/>
        <v>46112</v>
      </c>
      <c r="Y128" s="452" t="str">
        <f t="shared" ca="1" si="33"/>
        <v>Mar. avril , 2026</v>
      </c>
      <c r="Z128" s="143">
        <f t="shared" ca="1" si="24"/>
        <v>30</v>
      </c>
      <c r="AA128" s="348">
        <f t="shared" ca="1" si="25"/>
        <v>4</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Mar</v>
      </c>
      <c r="U129" s="186" t="str">
        <f t="shared" ca="1" si="32"/>
        <v>avril</v>
      </c>
      <c r="X129" s="347">
        <f t="shared" ca="1" si="36"/>
        <v>46112</v>
      </c>
      <c r="Y129" s="452" t="str">
        <f t="shared" ca="1" si="33"/>
        <v>Mar. avril , 2026</v>
      </c>
      <c r="Z129" s="143">
        <f t="shared" ca="1" si="24"/>
        <v>30</v>
      </c>
      <c r="AA129" s="348">
        <f t="shared" ca="1" si="25"/>
        <v>4</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Mar</v>
      </c>
      <c r="U130" s="186" t="str">
        <f t="shared" ca="1" si="32"/>
        <v>avril</v>
      </c>
      <c r="X130" s="347">
        <f t="shared" ca="1" si="36"/>
        <v>46112</v>
      </c>
      <c r="Y130" s="452" t="str">
        <f t="shared" ca="1" si="33"/>
        <v>Mar. avril , 2026</v>
      </c>
      <c r="Z130" s="143">
        <f t="shared" ca="1" si="24"/>
        <v>30</v>
      </c>
      <c r="AA130" s="348">
        <f t="shared" ca="1" si="25"/>
        <v>4</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Mar</v>
      </c>
      <c r="U131" s="186" t="str">
        <f t="shared" ca="1" si="32"/>
        <v>avril</v>
      </c>
      <c r="X131" s="347">
        <f t="shared" ca="1" si="36"/>
        <v>46112</v>
      </c>
      <c r="Y131" s="452" t="str">
        <f t="shared" ca="1" si="33"/>
        <v>Mar. avril , 2026</v>
      </c>
      <c r="Z131" s="143">
        <f t="shared" ca="1" si="24"/>
        <v>30</v>
      </c>
      <c r="AA131" s="348">
        <f t="shared" ca="1" si="25"/>
        <v>4</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Mar</v>
      </c>
      <c r="U132" s="186" t="str">
        <f t="shared" ca="1" si="32"/>
        <v>avril</v>
      </c>
      <c r="X132" s="347">
        <f t="shared" ca="1" si="36"/>
        <v>46112</v>
      </c>
      <c r="Y132" s="452" t="str">
        <f t="shared" ca="1" si="33"/>
        <v>Mar. avril , 2026</v>
      </c>
      <c r="Z132" s="143">
        <f t="shared" ca="1" si="24"/>
        <v>30</v>
      </c>
      <c r="AA132" s="348">
        <f t="shared" ca="1" si="25"/>
        <v>4</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Mar</v>
      </c>
      <c r="U133" s="186" t="str">
        <f t="shared" ca="1" si="32"/>
        <v>avril</v>
      </c>
      <c r="X133" s="347">
        <f t="shared" ca="1" si="36"/>
        <v>46112</v>
      </c>
      <c r="Y133" s="452" t="str">
        <f t="shared" ca="1" si="33"/>
        <v>Mar. avril , 2026</v>
      </c>
      <c r="Z133" s="143">
        <f t="shared" ca="1" si="24"/>
        <v>30</v>
      </c>
      <c r="AA133" s="348">
        <f t="shared" ca="1" si="25"/>
        <v>4</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Mar</v>
      </c>
      <c r="U134" s="186" t="str">
        <f t="shared" ca="1" si="32"/>
        <v>avril</v>
      </c>
      <c r="X134" s="347">
        <f t="shared" ca="1" si="36"/>
        <v>46112</v>
      </c>
      <c r="Y134" s="452" t="str">
        <f t="shared" ca="1" si="33"/>
        <v>Mar. avril , 2026</v>
      </c>
      <c r="Z134" s="143">
        <f t="shared" ca="1" si="24"/>
        <v>30</v>
      </c>
      <c r="AA134" s="348">
        <f t="shared" ca="1" si="25"/>
        <v>4</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Mar</v>
      </c>
      <c r="U135" s="186" t="str">
        <f t="shared" ca="1" si="32"/>
        <v>avril</v>
      </c>
      <c r="X135" s="347">
        <f t="shared" ca="1" si="36"/>
        <v>46112</v>
      </c>
      <c r="Y135" s="452" t="str">
        <f t="shared" ca="1" si="33"/>
        <v>Mar. avril , 2026</v>
      </c>
      <c r="Z135" s="143">
        <f t="shared" ca="1" si="24"/>
        <v>30</v>
      </c>
      <c r="AA135" s="348">
        <f t="shared" ca="1" si="25"/>
        <v>4</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Mar</v>
      </c>
      <c r="U136" s="186" t="str">
        <f t="shared" ca="1" si="32"/>
        <v>avril</v>
      </c>
      <c r="X136" s="347">
        <f t="shared" ca="1" si="36"/>
        <v>46112</v>
      </c>
      <c r="Y136" s="452" t="str">
        <f t="shared" ca="1" si="33"/>
        <v>Mar. avril , 2026</v>
      </c>
      <c r="Z136" s="143">
        <f t="shared" ca="1" si="24"/>
        <v>30</v>
      </c>
      <c r="AA136" s="348">
        <f t="shared" ca="1" si="25"/>
        <v>4</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Mar</v>
      </c>
      <c r="U137" s="186" t="str">
        <f t="shared" ca="1" si="32"/>
        <v>avril</v>
      </c>
      <c r="X137" s="347">
        <f t="shared" ca="1" si="36"/>
        <v>46112</v>
      </c>
      <c r="Y137" s="452" t="str">
        <f t="shared" ca="1" si="33"/>
        <v>Mar. avril , 2026</v>
      </c>
      <c r="Z137" s="143">
        <f t="shared" ca="1" si="24"/>
        <v>30</v>
      </c>
      <c r="AA137" s="348">
        <f t="shared" ca="1" si="25"/>
        <v>4</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Mar</v>
      </c>
      <c r="U138" s="186" t="str">
        <f t="shared" ca="1" si="32"/>
        <v>avril</v>
      </c>
      <c r="X138" s="347">
        <f t="shared" ca="1" si="36"/>
        <v>46112</v>
      </c>
      <c r="Y138" s="452" t="str">
        <f t="shared" ca="1" si="33"/>
        <v>Mar. avril , 2026</v>
      </c>
      <c r="Z138" s="143">
        <f t="shared" ca="1" si="24"/>
        <v>30</v>
      </c>
      <c r="AA138" s="348">
        <f t="shared" ca="1" si="25"/>
        <v>4</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Mar</v>
      </c>
      <c r="U139" s="186" t="str">
        <f t="shared" ca="1" si="32"/>
        <v>avril</v>
      </c>
      <c r="X139" s="347">
        <f t="shared" ca="1" si="36"/>
        <v>46112</v>
      </c>
      <c r="Y139" s="452" t="str">
        <f t="shared" ca="1" si="33"/>
        <v>Mar. avril , 2026</v>
      </c>
      <c r="Z139" s="143">
        <f t="shared" ca="1" si="24"/>
        <v>30</v>
      </c>
      <c r="AA139" s="348">
        <f t="shared" ca="1" si="25"/>
        <v>4</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Mar</v>
      </c>
      <c r="U140" s="186" t="str">
        <f t="shared" ca="1" si="32"/>
        <v>avril</v>
      </c>
      <c r="X140" s="347">
        <f t="shared" ca="1" si="36"/>
        <v>46112</v>
      </c>
      <c r="Y140" s="452" t="str">
        <f t="shared" ca="1" si="33"/>
        <v>Mar. avril , 2026</v>
      </c>
      <c r="Z140" s="143">
        <f t="shared" ca="1" si="24"/>
        <v>30</v>
      </c>
      <c r="AA140" s="348">
        <f t="shared" ca="1" si="25"/>
        <v>4</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Mar</v>
      </c>
      <c r="U141" s="186" t="str">
        <f t="shared" ca="1" si="32"/>
        <v>avril</v>
      </c>
      <c r="X141" s="347">
        <f t="shared" ca="1" si="36"/>
        <v>46112</v>
      </c>
      <c r="Y141" s="452" t="str">
        <f t="shared" ca="1" si="33"/>
        <v>Mar. avril , 2026</v>
      </c>
      <c r="Z141" s="143">
        <f t="shared" ca="1" si="24"/>
        <v>30</v>
      </c>
      <c r="AA141" s="348">
        <f t="shared" ca="1" si="25"/>
        <v>4</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Mar</v>
      </c>
      <c r="U142" s="186" t="str">
        <f t="shared" ca="1" si="32"/>
        <v>avril</v>
      </c>
      <c r="X142" s="347">
        <f t="shared" ca="1" si="36"/>
        <v>46112</v>
      </c>
      <c r="Y142" s="452" t="str">
        <f t="shared" ca="1" si="33"/>
        <v>Mar. avril , 2026</v>
      </c>
      <c r="Z142" s="143">
        <f t="shared" ca="1" si="24"/>
        <v>30</v>
      </c>
      <c r="AA142" s="348">
        <f t="shared" ca="1" si="25"/>
        <v>4</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Mar</v>
      </c>
      <c r="U143" s="186" t="str">
        <f t="shared" ca="1" si="32"/>
        <v>avril</v>
      </c>
      <c r="X143" s="347">
        <f t="shared" ca="1" si="36"/>
        <v>46112</v>
      </c>
      <c r="Y143" s="452" t="str">
        <f t="shared" ca="1" si="33"/>
        <v>Mar. avril , 2026</v>
      </c>
      <c r="Z143" s="143">
        <f t="shared" ca="1" si="24"/>
        <v>30</v>
      </c>
      <c r="AA143" s="348">
        <f t="shared" ca="1" si="25"/>
        <v>4</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Mar</v>
      </c>
      <c r="U144" s="186" t="str">
        <f t="shared" ca="1" si="32"/>
        <v>avril</v>
      </c>
      <c r="X144" s="347">
        <f t="shared" ca="1" si="36"/>
        <v>46112</v>
      </c>
      <c r="Y144" s="452" t="str">
        <f t="shared" ca="1" si="33"/>
        <v>Mar. avril , 2026</v>
      </c>
      <c r="Z144" s="143">
        <f t="shared" ca="1" si="24"/>
        <v>30</v>
      </c>
      <c r="AA144" s="348">
        <f t="shared" ca="1" si="25"/>
        <v>4</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Mar</v>
      </c>
      <c r="U145" s="186" t="str">
        <f t="shared" ca="1" si="32"/>
        <v>avril</v>
      </c>
      <c r="X145" s="347">
        <f t="shared" ca="1" si="36"/>
        <v>46112</v>
      </c>
      <c r="Y145" s="452" t="str">
        <f t="shared" ca="1" si="33"/>
        <v>Mar. avril , 2026</v>
      </c>
      <c r="Z145" s="143">
        <f t="shared" ca="1" si="24"/>
        <v>30</v>
      </c>
      <c r="AA145" s="348">
        <f t="shared" ca="1" si="25"/>
        <v>4</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Mar</v>
      </c>
      <c r="U146" s="186" t="str">
        <f t="shared" ca="1" si="32"/>
        <v>avril</v>
      </c>
      <c r="X146" s="347">
        <f t="shared" ca="1" si="36"/>
        <v>46112</v>
      </c>
      <c r="Y146" s="452" t="str">
        <f t="shared" ca="1" si="33"/>
        <v>Mar. avril , 2026</v>
      </c>
      <c r="Z146" s="143">
        <f t="shared" ca="1" si="24"/>
        <v>30</v>
      </c>
      <c r="AA146" s="348">
        <f t="shared" ca="1" si="25"/>
        <v>4</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Mar</v>
      </c>
      <c r="U147" s="186" t="str">
        <f t="shared" ca="1" si="32"/>
        <v>avril</v>
      </c>
      <c r="X147" s="347">
        <f t="shared" ca="1" si="36"/>
        <v>46112</v>
      </c>
      <c r="Y147" s="452" t="str">
        <f t="shared" ca="1" si="33"/>
        <v>Mar. avril , 2026</v>
      </c>
      <c r="Z147" s="143">
        <f t="shared" ca="1" si="24"/>
        <v>30</v>
      </c>
      <c r="AA147" s="348">
        <f t="shared" ca="1" si="25"/>
        <v>4</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Mar</v>
      </c>
      <c r="U148" s="186" t="str">
        <f t="shared" ca="1" si="32"/>
        <v>avril</v>
      </c>
      <c r="X148" s="347">
        <f t="shared" ca="1" si="36"/>
        <v>46112</v>
      </c>
      <c r="Y148" s="452" t="str">
        <f t="shared" ca="1" si="33"/>
        <v>Mar. avril , 2026</v>
      </c>
      <c r="Z148" s="143">
        <f t="shared" ref="Z148:Z194" ca="1" si="43">MIN(R148,$AF$5)</f>
        <v>30</v>
      </c>
      <c r="AA148" s="348">
        <f t="shared" ref="AA148:AA194" ca="1" si="44">$AD$6</f>
        <v>4</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Mar</v>
      </c>
      <c r="U149" s="186" t="str">
        <f t="shared" ref="U149:U194" ca="1" si="51">$U$19</f>
        <v>avril</v>
      </c>
      <c r="X149" s="347">
        <f t="shared" ca="1" si="36"/>
        <v>46112</v>
      </c>
      <c r="Y149" s="452" t="str">
        <f t="shared" ref="Y149:Y194" ca="1" si="52">IF(Y143="f",T149&amp;". "&amp;" "&amp;R149&amp;" "&amp;U149&amp;" "&amp;$AE$7,T149&amp;". "&amp;U149&amp;" "&amp;R149&amp;", "&amp;$AE$7)</f>
        <v>Mar. avril , 2026</v>
      </c>
      <c r="Z149" s="143">
        <f t="shared" ca="1" si="43"/>
        <v>30</v>
      </c>
      <c r="AA149" s="348">
        <f t="shared" ca="1" si="44"/>
        <v>4</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Mar</v>
      </c>
      <c r="U150" s="186" t="str">
        <f t="shared" ca="1" si="51"/>
        <v>avril</v>
      </c>
      <c r="X150" s="347">
        <f t="shared" ref="X150:X194" ca="1" si="55">$AE$8+D150</f>
        <v>46112</v>
      </c>
      <c r="Y150" s="452" t="str">
        <f t="shared" ca="1" si="52"/>
        <v>Mar. avril , 2026</v>
      </c>
      <c r="Z150" s="143">
        <f t="shared" ca="1" si="43"/>
        <v>30</v>
      </c>
      <c r="AA150" s="348">
        <f t="shared" ca="1" si="44"/>
        <v>4</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Mar</v>
      </c>
      <c r="U151" s="186" t="str">
        <f t="shared" ca="1" si="51"/>
        <v>avril</v>
      </c>
      <c r="X151" s="347">
        <f t="shared" ca="1" si="55"/>
        <v>46112</v>
      </c>
      <c r="Y151" s="452" t="str">
        <f t="shared" ca="1" si="52"/>
        <v>Mar. avril , 2026</v>
      </c>
      <c r="Z151" s="143">
        <f t="shared" ca="1" si="43"/>
        <v>30</v>
      </c>
      <c r="AA151" s="348">
        <f t="shared" ca="1" si="44"/>
        <v>4</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Mar</v>
      </c>
      <c r="U152" s="186" t="str">
        <f t="shared" ca="1" si="51"/>
        <v>avril</v>
      </c>
      <c r="X152" s="347">
        <f t="shared" ca="1" si="55"/>
        <v>46112</v>
      </c>
      <c r="Y152" s="452" t="str">
        <f t="shared" ca="1" si="52"/>
        <v>Mar. avril , 2026</v>
      </c>
      <c r="Z152" s="143">
        <f t="shared" ca="1" si="43"/>
        <v>30</v>
      </c>
      <c r="AA152" s="348">
        <f t="shared" ca="1" si="44"/>
        <v>4</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Mar</v>
      </c>
      <c r="U153" s="186" t="str">
        <f t="shared" ca="1" si="51"/>
        <v>avril</v>
      </c>
      <c r="X153" s="347">
        <f t="shared" ca="1" si="55"/>
        <v>46112</v>
      </c>
      <c r="Y153" s="452" t="str">
        <f t="shared" ca="1" si="52"/>
        <v>Mar. avril , 2026</v>
      </c>
      <c r="Z153" s="143">
        <f t="shared" ca="1" si="43"/>
        <v>30</v>
      </c>
      <c r="AA153" s="348">
        <f t="shared" ca="1" si="44"/>
        <v>4</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Mar</v>
      </c>
      <c r="U154" s="186" t="str">
        <f t="shared" ca="1" si="51"/>
        <v>avril</v>
      </c>
      <c r="X154" s="347">
        <f t="shared" ca="1" si="55"/>
        <v>46112</v>
      </c>
      <c r="Y154" s="452" t="str">
        <f t="shared" ca="1" si="52"/>
        <v>Mar. avril , 2026</v>
      </c>
      <c r="Z154" s="143">
        <f t="shared" ca="1" si="43"/>
        <v>30</v>
      </c>
      <c r="AA154" s="348">
        <f t="shared" ca="1" si="44"/>
        <v>4</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Mar</v>
      </c>
      <c r="U155" s="186" t="str">
        <f t="shared" ca="1" si="51"/>
        <v>avril</v>
      </c>
      <c r="X155" s="347">
        <f t="shared" ca="1" si="55"/>
        <v>46112</v>
      </c>
      <c r="Y155" s="452" t="str">
        <f t="shared" ca="1" si="52"/>
        <v>Mar. avril , 2026</v>
      </c>
      <c r="Z155" s="143">
        <f t="shared" ca="1" si="43"/>
        <v>30</v>
      </c>
      <c r="AA155" s="348">
        <f t="shared" ca="1" si="44"/>
        <v>4</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Mar</v>
      </c>
      <c r="U156" s="186" t="str">
        <f t="shared" ca="1" si="51"/>
        <v>avril</v>
      </c>
      <c r="X156" s="347">
        <f t="shared" ca="1" si="55"/>
        <v>46112</v>
      </c>
      <c r="Y156" s="452" t="str">
        <f t="shared" ca="1" si="52"/>
        <v>Mar. avril , 2026</v>
      </c>
      <c r="Z156" s="143">
        <f t="shared" ca="1" si="43"/>
        <v>30</v>
      </c>
      <c r="AA156" s="348">
        <f t="shared" ca="1" si="44"/>
        <v>4</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Mar</v>
      </c>
      <c r="U157" s="186" t="str">
        <f t="shared" ca="1" si="51"/>
        <v>avril</v>
      </c>
      <c r="X157" s="347">
        <f t="shared" ca="1" si="55"/>
        <v>46112</v>
      </c>
      <c r="Y157" s="452" t="str">
        <f t="shared" ca="1" si="52"/>
        <v>Mar. avril , 2026</v>
      </c>
      <c r="Z157" s="143">
        <f t="shared" ca="1" si="43"/>
        <v>30</v>
      </c>
      <c r="AA157" s="348">
        <f t="shared" ca="1" si="44"/>
        <v>4</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Mar</v>
      </c>
      <c r="U158" s="186" t="str">
        <f t="shared" ca="1" si="51"/>
        <v>avril</v>
      </c>
      <c r="X158" s="347">
        <f t="shared" ca="1" si="55"/>
        <v>46112</v>
      </c>
      <c r="Y158" s="452" t="str">
        <f t="shared" ca="1" si="52"/>
        <v>Mar. avril , 2026</v>
      </c>
      <c r="Z158" s="143">
        <f t="shared" ca="1" si="43"/>
        <v>30</v>
      </c>
      <c r="AA158" s="348">
        <f t="shared" ca="1" si="44"/>
        <v>4</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Mar</v>
      </c>
      <c r="U159" s="186" t="str">
        <f t="shared" ca="1" si="51"/>
        <v>avril</v>
      </c>
      <c r="X159" s="347">
        <f t="shared" ca="1" si="55"/>
        <v>46112</v>
      </c>
      <c r="Y159" s="452" t="str">
        <f t="shared" ca="1" si="52"/>
        <v>Mar. avril , 2026</v>
      </c>
      <c r="Z159" s="143">
        <f t="shared" ca="1" si="43"/>
        <v>30</v>
      </c>
      <c r="AA159" s="348">
        <f t="shared" ca="1" si="44"/>
        <v>4</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Mar</v>
      </c>
      <c r="U160" s="186" t="str">
        <f t="shared" ca="1" si="51"/>
        <v>avril</v>
      </c>
      <c r="X160" s="347">
        <f t="shared" ca="1" si="55"/>
        <v>46112</v>
      </c>
      <c r="Y160" s="452" t="str">
        <f t="shared" ca="1" si="52"/>
        <v>Mar. avril , 2026</v>
      </c>
      <c r="Z160" s="143">
        <f t="shared" ca="1" si="43"/>
        <v>30</v>
      </c>
      <c r="AA160" s="348">
        <f t="shared" ca="1" si="44"/>
        <v>4</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Mar</v>
      </c>
      <c r="U161" s="186" t="str">
        <f t="shared" ca="1" si="51"/>
        <v>avril</v>
      </c>
      <c r="X161" s="347">
        <f t="shared" ca="1" si="55"/>
        <v>46112</v>
      </c>
      <c r="Y161" s="452" t="str">
        <f t="shared" ca="1" si="52"/>
        <v>Mar. avril , 2026</v>
      </c>
      <c r="Z161" s="143">
        <f t="shared" ca="1" si="43"/>
        <v>30</v>
      </c>
      <c r="AA161" s="348">
        <f t="shared" ca="1" si="44"/>
        <v>4</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Mar</v>
      </c>
      <c r="U162" s="186" t="str">
        <f t="shared" ca="1" si="51"/>
        <v>avril</v>
      </c>
      <c r="X162" s="347">
        <f t="shared" ca="1" si="55"/>
        <v>46112</v>
      </c>
      <c r="Y162" s="452" t="str">
        <f t="shared" ca="1" si="52"/>
        <v>Mar. avril , 2026</v>
      </c>
      <c r="Z162" s="143">
        <f t="shared" ca="1" si="43"/>
        <v>30</v>
      </c>
      <c r="AA162" s="348">
        <f t="shared" ca="1" si="44"/>
        <v>4</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Mar</v>
      </c>
      <c r="U163" s="186" t="str">
        <f t="shared" ca="1" si="51"/>
        <v>avril</v>
      </c>
      <c r="X163" s="347">
        <f t="shared" ca="1" si="55"/>
        <v>46112</v>
      </c>
      <c r="Y163" s="452" t="str">
        <f t="shared" ca="1" si="52"/>
        <v>Mar. avril , 2026</v>
      </c>
      <c r="Z163" s="143">
        <f t="shared" ca="1" si="43"/>
        <v>30</v>
      </c>
      <c r="AA163" s="348">
        <f t="shared" ca="1" si="44"/>
        <v>4</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Mar</v>
      </c>
      <c r="U164" s="186" t="str">
        <f t="shared" ca="1" si="51"/>
        <v>avril</v>
      </c>
      <c r="X164" s="347">
        <f t="shared" ca="1" si="55"/>
        <v>46112</v>
      </c>
      <c r="Y164" s="452" t="str">
        <f t="shared" ca="1" si="52"/>
        <v>Mar. avril , 2026</v>
      </c>
      <c r="Z164" s="143">
        <f t="shared" ca="1" si="43"/>
        <v>30</v>
      </c>
      <c r="AA164" s="348">
        <f t="shared" ca="1" si="44"/>
        <v>4</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Mar</v>
      </c>
      <c r="U165" s="186" t="str">
        <f t="shared" ca="1" si="51"/>
        <v>avril</v>
      </c>
      <c r="X165" s="347">
        <f t="shared" ca="1" si="55"/>
        <v>46112</v>
      </c>
      <c r="Y165" s="452" t="str">
        <f t="shared" ca="1" si="52"/>
        <v>Mar. avril , 2026</v>
      </c>
      <c r="Z165" s="143">
        <f t="shared" ca="1" si="43"/>
        <v>30</v>
      </c>
      <c r="AA165" s="348">
        <f t="shared" ca="1" si="44"/>
        <v>4</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Mar</v>
      </c>
      <c r="U166" s="186" t="str">
        <f t="shared" ca="1" si="51"/>
        <v>avril</v>
      </c>
      <c r="X166" s="347">
        <f t="shared" ca="1" si="55"/>
        <v>46112</v>
      </c>
      <c r="Y166" s="452" t="str">
        <f t="shared" ca="1" si="52"/>
        <v>Mar. avril , 2026</v>
      </c>
      <c r="Z166" s="143">
        <f t="shared" ca="1" si="43"/>
        <v>30</v>
      </c>
      <c r="AA166" s="348">
        <f t="shared" ca="1" si="44"/>
        <v>4</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Mar</v>
      </c>
      <c r="U167" s="186" t="str">
        <f t="shared" ca="1" si="51"/>
        <v>avril</v>
      </c>
      <c r="X167" s="347">
        <f t="shared" ca="1" si="55"/>
        <v>46112</v>
      </c>
      <c r="Y167" s="452" t="str">
        <f t="shared" ca="1" si="52"/>
        <v>Mar. avril , 2026</v>
      </c>
      <c r="Z167" s="143">
        <f t="shared" ca="1" si="43"/>
        <v>30</v>
      </c>
      <c r="AA167" s="348">
        <f t="shared" ca="1" si="44"/>
        <v>4</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Mar</v>
      </c>
      <c r="U168" s="186" t="str">
        <f t="shared" ca="1" si="51"/>
        <v>avril</v>
      </c>
      <c r="X168" s="347">
        <f t="shared" ca="1" si="55"/>
        <v>46112</v>
      </c>
      <c r="Y168" s="452" t="str">
        <f t="shared" ca="1" si="52"/>
        <v>Mar. avril , 2026</v>
      </c>
      <c r="Z168" s="143">
        <f t="shared" ca="1" si="43"/>
        <v>30</v>
      </c>
      <c r="AA168" s="348">
        <f t="shared" ca="1" si="44"/>
        <v>4</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Mar</v>
      </c>
      <c r="U169" s="186" t="str">
        <f t="shared" ca="1" si="51"/>
        <v>avril</v>
      </c>
      <c r="X169" s="347">
        <f t="shared" ca="1" si="55"/>
        <v>46112</v>
      </c>
      <c r="Y169" s="452" t="str">
        <f t="shared" ca="1" si="52"/>
        <v>Mar. avril , 2026</v>
      </c>
      <c r="Z169" s="143">
        <f t="shared" ca="1" si="43"/>
        <v>30</v>
      </c>
      <c r="AA169" s="348">
        <f t="shared" ca="1" si="44"/>
        <v>4</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Mar</v>
      </c>
      <c r="U170" s="186" t="str">
        <f t="shared" ca="1" si="51"/>
        <v>avril</v>
      </c>
      <c r="X170" s="347">
        <f t="shared" ca="1" si="55"/>
        <v>46112</v>
      </c>
      <c r="Y170" s="452" t="str">
        <f t="shared" ca="1" si="52"/>
        <v>Mar. avril , 2026</v>
      </c>
      <c r="Z170" s="143">
        <f t="shared" ca="1" si="43"/>
        <v>30</v>
      </c>
      <c r="AA170" s="348">
        <f t="shared" ca="1" si="44"/>
        <v>4</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Mar</v>
      </c>
      <c r="U171" s="186" t="str">
        <f t="shared" ca="1" si="51"/>
        <v>avril</v>
      </c>
      <c r="X171" s="347">
        <f t="shared" ca="1" si="55"/>
        <v>46112</v>
      </c>
      <c r="Y171" s="452" t="str">
        <f t="shared" ca="1" si="52"/>
        <v>Mar. avril , 2026</v>
      </c>
      <c r="Z171" s="143">
        <f t="shared" ca="1" si="43"/>
        <v>30</v>
      </c>
      <c r="AA171" s="348">
        <f t="shared" ca="1" si="44"/>
        <v>4</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Mar</v>
      </c>
      <c r="U172" s="186" t="str">
        <f t="shared" ca="1" si="51"/>
        <v>avril</v>
      </c>
      <c r="X172" s="347">
        <f t="shared" ca="1" si="55"/>
        <v>46112</v>
      </c>
      <c r="Y172" s="452" t="str">
        <f t="shared" ca="1" si="52"/>
        <v>Mar. avril , 2026</v>
      </c>
      <c r="Z172" s="143">
        <f t="shared" ca="1" si="43"/>
        <v>30</v>
      </c>
      <c r="AA172" s="348">
        <f t="shared" ca="1" si="44"/>
        <v>4</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Mar</v>
      </c>
      <c r="U173" s="186" t="str">
        <f t="shared" ca="1" si="51"/>
        <v>avril</v>
      </c>
      <c r="X173" s="347">
        <f t="shared" ca="1" si="55"/>
        <v>46112</v>
      </c>
      <c r="Y173" s="452" t="str">
        <f t="shared" ca="1" si="52"/>
        <v>Mar. avril , 2026</v>
      </c>
      <c r="Z173" s="143">
        <f t="shared" ca="1" si="43"/>
        <v>30</v>
      </c>
      <c r="AA173" s="348">
        <f t="shared" ca="1" si="44"/>
        <v>4</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Mar</v>
      </c>
      <c r="U174" s="186" t="str">
        <f t="shared" ca="1" si="51"/>
        <v>avril</v>
      </c>
      <c r="X174" s="347">
        <f t="shared" ca="1" si="55"/>
        <v>46112</v>
      </c>
      <c r="Y174" s="452" t="str">
        <f t="shared" ca="1" si="52"/>
        <v>Mar. avril , 2026</v>
      </c>
      <c r="Z174" s="143">
        <f t="shared" ca="1" si="43"/>
        <v>30</v>
      </c>
      <c r="AA174" s="348">
        <f t="shared" ca="1" si="44"/>
        <v>4</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Mar</v>
      </c>
      <c r="U175" s="186" t="str">
        <f t="shared" ca="1" si="51"/>
        <v>avril</v>
      </c>
      <c r="X175" s="347">
        <f t="shared" ca="1" si="55"/>
        <v>46112</v>
      </c>
      <c r="Y175" s="452" t="str">
        <f t="shared" ca="1" si="52"/>
        <v>Mar. avril , 2026</v>
      </c>
      <c r="Z175" s="143">
        <f t="shared" ca="1" si="43"/>
        <v>30</v>
      </c>
      <c r="AA175" s="348">
        <f t="shared" ca="1" si="44"/>
        <v>4</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Mar</v>
      </c>
      <c r="U176" s="186" t="str">
        <f t="shared" ca="1" si="51"/>
        <v>avril</v>
      </c>
      <c r="X176" s="347">
        <f t="shared" ca="1" si="55"/>
        <v>46112</v>
      </c>
      <c r="Y176" s="452" t="str">
        <f t="shared" ca="1" si="52"/>
        <v>Mar. avril , 2026</v>
      </c>
      <c r="Z176" s="143">
        <f t="shared" ca="1" si="43"/>
        <v>30</v>
      </c>
      <c r="AA176" s="348">
        <f t="shared" ca="1" si="44"/>
        <v>4</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Mar</v>
      </c>
      <c r="U177" s="186" t="str">
        <f t="shared" ca="1" si="51"/>
        <v>avril</v>
      </c>
      <c r="X177" s="347">
        <f t="shared" ca="1" si="55"/>
        <v>46112</v>
      </c>
      <c r="Y177" s="452" t="str">
        <f t="shared" ca="1" si="52"/>
        <v>Mar. avril , 2026</v>
      </c>
      <c r="Z177" s="143">
        <f t="shared" ca="1" si="43"/>
        <v>30</v>
      </c>
      <c r="AA177" s="348">
        <f t="shared" ca="1" si="44"/>
        <v>4</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Mar</v>
      </c>
      <c r="U178" s="186" t="str">
        <f t="shared" ca="1" si="51"/>
        <v>avril</v>
      </c>
      <c r="X178" s="347">
        <f t="shared" ca="1" si="55"/>
        <v>46112</v>
      </c>
      <c r="Y178" s="452" t="str">
        <f t="shared" ca="1" si="52"/>
        <v>Mar. avril , 2026</v>
      </c>
      <c r="Z178" s="143">
        <f t="shared" ca="1" si="43"/>
        <v>30</v>
      </c>
      <c r="AA178" s="348">
        <f t="shared" ca="1" si="44"/>
        <v>4</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Mar</v>
      </c>
      <c r="U179" s="186" t="str">
        <f t="shared" ca="1" si="51"/>
        <v>avril</v>
      </c>
      <c r="X179" s="347">
        <f t="shared" ca="1" si="55"/>
        <v>46112</v>
      </c>
      <c r="Y179" s="452" t="str">
        <f t="shared" ca="1" si="52"/>
        <v>Mar. avril , 2026</v>
      </c>
      <c r="Z179" s="143">
        <f t="shared" ca="1" si="43"/>
        <v>30</v>
      </c>
      <c r="AA179" s="348">
        <f t="shared" ca="1" si="44"/>
        <v>4</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Mar</v>
      </c>
      <c r="U180" s="186" t="str">
        <f t="shared" ca="1" si="51"/>
        <v>avril</v>
      </c>
      <c r="X180" s="347">
        <f t="shared" ca="1" si="55"/>
        <v>46112</v>
      </c>
      <c r="Y180" s="452" t="str">
        <f t="shared" ca="1" si="52"/>
        <v>Mar. avril , 2026</v>
      </c>
      <c r="Z180" s="143">
        <f t="shared" ca="1" si="43"/>
        <v>30</v>
      </c>
      <c r="AA180" s="348">
        <f t="shared" ca="1" si="44"/>
        <v>4</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Mar</v>
      </c>
      <c r="U181" s="186" t="str">
        <f t="shared" ca="1" si="51"/>
        <v>avril</v>
      </c>
      <c r="X181" s="347">
        <f t="shared" ca="1" si="55"/>
        <v>46112</v>
      </c>
      <c r="Y181" s="452" t="str">
        <f t="shared" ca="1" si="52"/>
        <v>Mar. avril , 2026</v>
      </c>
      <c r="Z181" s="143">
        <f t="shared" ca="1" si="43"/>
        <v>30</v>
      </c>
      <c r="AA181" s="348">
        <f t="shared" ca="1" si="44"/>
        <v>4</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Mar</v>
      </c>
      <c r="U182" s="186" t="str">
        <f t="shared" ca="1" si="51"/>
        <v>avril</v>
      </c>
      <c r="X182" s="347">
        <f t="shared" ca="1" si="55"/>
        <v>46112</v>
      </c>
      <c r="Y182" s="452" t="str">
        <f t="shared" ca="1" si="52"/>
        <v>Mar. avril , 2026</v>
      </c>
      <c r="Z182" s="143">
        <f t="shared" ca="1" si="43"/>
        <v>30</v>
      </c>
      <c r="AA182" s="348">
        <f t="shared" ca="1" si="44"/>
        <v>4</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Mar</v>
      </c>
      <c r="U183" s="186" t="str">
        <f t="shared" ca="1" si="51"/>
        <v>avril</v>
      </c>
      <c r="X183" s="347">
        <f t="shared" ca="1" si="55"/>
        <v>46112</v>
      </c>
      <c r="Y183" s="452" t="str">
        <f t="shared" ca="1" si="52"/>
        <v>Mar. avril , 2026</v>
      </c>
      <c r="Z183" s="143">
        <f t="shared" ca="1" si="43"/>
        <v>30</v>
      </c>
      <c r="AA183" s="348">
        <f t="shared" ca="1" si="44"/>
        <v>4</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Mar</v>
      </c>
      <c r="U184" s="186" t="str">
        <f t="shared" ca="1" si="51"/>
        <v>avril</v>
      </c>
      <c r="X184" s="347">
        <f t="shared" ca="1" si="55"/>
        <v>46112</v>
      </c>
      <c r="Y184" s="452" t="str">
        <f t="shared" ca="1" si="52"/>
        <v>Mar. avril , 2026</v>
      </c>
      <c r="Z184" s="143">
        <f t="shared" ca="1" si="43"/>
        <v>30</v>
      </c>
      <c r="AA184" s="348">
        <f t="shared" ca="1" si="44"/>
        <v>4</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Mar</v>
      </c>
      <c r="U185" s="186" t="str">
        <f t="shared" ca="1" si="51"/>
        <v>avril</v>
      </c>
      <c r="X185" s="347">
        <f t="shared" ca="1" si="55"/>
        <v>46112</v>
      </c>
      <c r="Y185" s="452" t="str">
        <f t="shared" ca="1" si="52"/>
        <v>Mar. avril , 2026</v>
      </c>
      <c r="Z185" s="143">
        <f t="shared" ca="1" si="43"/>
        <v>30</v>
      </c>
      <c r="AA185" s="348">
        <f t="shared" ca="1" si="44"/>
        <v>4</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Mar</v>
      </c>
      <c r="U186" s="186" t="str">
        <f t="shared" ca="1" si="51"/>
        <v>avril</v>
      </c>
      <c r="X186" s="347">
        <f t="shared" ca="1" si="55"/>
        <v>46112</v>
      </c>
      <c r="Y186" s="452" t="str">
        <f t="shared" ca="1" si="52"/>
        <v>Mar. avril , 2026</v>
      </c>
      <c r="Z186" s="143">
        <f t="shared" ca="1" si="43"/>
        <v>30</v>
      </c>
      <c r="AA186" s="348">
        <f t="shared" ca="1" si="44"/>
        <v>4</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Mar</v>
      </c>
      <c r="U187" s="186" t="str">
        <f t="shared" ca="1" si="51"/>
        <v>avril</v>
      </c>
      <c r="X187" s="347">
        <f t="shared" ca="1" si="55"/>
        <v>46112</v>
      </c>
      <c r="Y187" s="452" t="str">
        <f t="shared" ca="1" si="52"/>
        <v>Mar. avril , 2026</v>
      </c>
      <c r="Z187" s="143">
        <f t="shared" ca="1" si="43"/>
        <v>30</v>
      </c>
      <c r="AA187" s="348">
        <f t="shared" ca="1" si="44"/>
        <v>4</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Mar</v>
      </c>
      <c r="U188" s="186" t="str">
        <f t="shared" ca="1" si="51"/>
        <v>avril</v>
      </c>
      <c r="X188" s="347">
        <f t="shared" ca="1" si="55"/>
        <v>46112</v>
      </c>
      <c r="Y188" s="452" t="str">
        <f t="shared" ca="1" si="52"/>
        <v>Mar. avril , 2026</v>
      </c>
      <c r="Z188" s="143">
        <f t="shared" ca="1" si="43"/>
        <v>30</v>
      </c>
      <c r="AA188" s="348">
        <f t="shared" ca="1" si="44"/>
        <v>4</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Mar</v>
      </c>
      <c r="U189" s="186" t="str">
        <f t="shared" ca="1" si="51"/>
        <v>avril</v>
      </c>
      <c r="X189" s="347">
        <f t="shared" ca="1" si="55"/>
        <v>46112</v>
      </c>
      <c r="Y189" s="452" t="str">
        <f t="shared" ca="1" si="52"/>
        <v>Mar. avril , 2026</v>
      </c>
      <c r="Z189" s="143">
        <f t="shared" ca="1" si="43"/>
        <v>30</v>
      </c>
      <c r="AA189" s="348">
        <f t="shared" ca="1" si="44"/>
        <v>4</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Mar</v>
      </c>
      <c r="U190" s="186" t="str">
        <f t="shared" ca="1" si="51"/>
        <v>avril</v>
      </c>
      <c r="X190" s="347">
        <f t="shared" ca="1" si="55"/>
        <v>46112</v>
      </c>
      <c r="Y190" s="452" t="str">
        <f t="shared" ca="1" si="52"/>
        <v>Mar. avril , 2026</v>
      </c>
      <c r="Z190" s="143">
        <f t="shared" ca="1" si="43"/>
        <v>30</v>
      </c>
      <c r="AA190" s="348">
        <f t="shared" ca="1" si="44"/>
        <v>4</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Mar</v>
      </c>
      <c r="U191" s="186" t="str">
        <f t="shared" ca="1" si="51"/>
        <v>avril</v>
      </c>
      <c r="X191" s="347">
        <f t="shared" ca="1" si="55"/>
        <v>46112</v>
      </c>
      <c r="Y191" s="452" t="str">
        <f t="shared" ca="1" si="52"/>
        <v>Mar. avril , 2026</v>
      </c>
      <c r="Z191" s="143">
        <f t="shared" ca="1" si="43"/>
        <v>30</v>
      </c>
      <c r="AA191" s="348">
        <f t="shared" ca="1" si="44"/>
        <v>4</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Mar</v>
      </c>
      <c r="U192" s="186" t="str">
        <f t="shared" ca="1" si="51"/>
        <v>avril</v>
      </c>
      <c r="X192" s="347">
        <f t="shared" ca="1" si="55"/>
        <v>46112</v>
      </c>
      <c r="Y192" s="452" t="str">
        <f t="shared" ca="1" si="52"/>
        <v>Mar. avril , 2026</v>
      </c>
      <c r="Z192" s="143">
        <f t="shared" ca="1" si="43"/>
        <v>30</v>
      </c>
      <c r="AA192" s="348">
        <f t="shared" ca="1" si="44"/>
        <v>4</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Mar</v>
      </c>
      <c r="U193" s="186" t="str">
        <f t="shared" ca="1" si="51"/>
        <v>avril</v>
      </c>
      <c r="X193" s="347">
        <f t="shared" ca="1" si="55"/>
        <v>46112</v>
      </c>
      <c r="Y193" s="452" t="str">
        <f t="shared" ca="1" si="52"/>
        <v>Mar. avril , 2026</v>
      </c>
      <c r="Z193" s="143">
        <f t="shared" ca="1" si="43"/>
        <v>30</v>
      </c>
      <c r="AA193" s="348">
        <f t="shared" ca="1" si="44"/>
        <v>4</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Mar</v>
      </c>
      <c r="U194" s="186" t="str">
        <f t="shared" ca="1" si="51"/>
        <v>avril</v>
      </c>
      <c r="X194" s="347">
        <f t="shared" ca="1" si="55"/>
        <v>46112</v>
      </c>
      <c r="Y194" s="452" t="str">
        <f t="shared" ca="1" si="52"/>
        <v>Mar. avril , 2026</v>
      </c>
      <c r="Z194" s="143">
        <f t="shared" ca="1" si="43"/>
        <v>30</v>
      </c>
      <c r="AA194" s="348">
        <f t="shared" ca="1" si="44"/>
        <v>4</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30</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30</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30</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30</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30</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11" priority="60" stopIfTrue="1">
      <formula>AND($AJ$2=$AF$5,$X$16=$X$13)</formula>
    </cfRule>
  </conditionalFormatting>
  <conditionalFormatting sqref="B18">
    <cfRule type="expression" dxfId="610" priority="39" stopIfTrue="1">
      <formula>(B18&gt;DATE(2000+$Y$2,$AA$21+1,1)-DATE(2000+$Y$2,$AA$21,1))</formula>
    </cfRule>
  </conditionalFormatting>
  <conditionalFormatting sqref="B20:B194">
    <cfRule type="expression" dxfId="609" priority="6" stopIfTrue="1">
      <formula>($G20="- -")</formula>
    </cfRule>
  </conditionalFormatting>
  <conditionalFormatting sqref="B16:J16">
    <cfRule type="expression" dxfId="608" priority="46" stopIfTrue="1">
      <formula>AND($AJ$2=$AF$5,$X$16=$X$13)</formula>
    </cfRule>
  </conditionalFormatting>
  <conditionalFormatting sqref="C17">
    <cfRule type="cellIs" dxfId="607" priority="45" stopIfTrue="1" operator="equal">
      <formula>"X"</formula>
    </cfRule>
  </conditionalFormatting>
  <conditionalFormatting sqref="C20:C194">
    <cfRule type="expression" dxfId="606" priority="14" stopIfTrue="1">
      <formula>($X$16=$X$14)</formula>
    </cfRule>
    <cfRule type="expression" dxfId="605" priority="15" stopIfTrue="1">
      <formula>($AV20=1)</formula>
    </cfRule>
    <cfRule type="expression" dxfId="604" priority="16" stopIfTrue="1">
      <formula>AND(D20=1+D19,G20=X20)</formula>
    </cfRule>
  </conditionalFormatting>
  <conditionalFormatting sqref="C9:J9">
    <cfRule type="expression" dxfId="603" priority="71" stopIfTrue="1">
      <formula>AND(ISNUMBER(C$9),ISNUMBER(C10),(C$9&gt;C$10))</formula>
    </cfRule>
  </conditionalFormatting>
  <conditionalFormatting sqref="C10:J10">
    <cfRule type="expression" dxfId="602" priority="77" stopIfTrue="1">
      <formula>AND(ISNUMBER(C$9),ISNUMBER(C10),(C$9&gt;C$10))</formula>
    </cfRule>
  </conditionalFormatting>
  <conditionalFormatting sqref="D20">
    <cfRule type="expression" dxfId="601" priority="18" stopIfTrue="1">
      <formula>AND($G20&lt;&gt;"- -",$G20&lt;&gt;$Y20)</formula>
    </cfRule>
    <cfRule type="expression" dxfId="600" priority="19" stopIfTrue="1">
      <formula>($AI20=1)</formula>
    </cfRule>
  </conditionalFormatting>
  <conditionalFormatting sqref="D21:D194">
    <cfRule type="expression" dxfId="599" priority="63" stopIfTrue="1">
      <formula>($AI21=1)</formula>
    </cfRule>
    <cfRule type="expression" dxfId="598" priority="62" stopIfTrue="1">
      <formula>AND($G21&lt;&gt;"- -",$G21&lt;&gt;$Y21)</formula>
    </cfRule>
  </conditionalFormatting>
  <conditionalFormatting sqref="D18:G19">
    <cfRule type="expression" dxfId="597" priority="38" stopIfTrue="1">
      <formula>($AB$16&lt;2)</formula>
    </cfRule>
  </conditionalFormatting>
  <conditionalFormatting sqref="D20:G194">
    <cfRule type="expression" dxfId="596" priority="17" stopIfTrue="1">
      <formula>OR($G20=$G19,$D20=$D19)</formula>
    </cfRule>
  </conditionalFormatting>
  <conditionalFormatting sqref="E8:F8">
    <cfRule type="expression" dxfId="595" priority="73" stopIfTrue="1">
      <formula>AND(ISNUMBER(E$9),ISNUMBER(E10),(E$9&gt;E$10))</formula>
    </cfRule>
    <cfRule type="expression" dxfId="594" priority="72" stopIfTrue="1">
      <formula>(BJ$13&gt;0)</formula>
    </cfRule>
  </conditionalFormatting>
  <conditionalFormatting sqref="E20:G20">
    <cfRule type="expression" dxfId="593" priority="22" stopIfTrue="1">
      <formula>($AI20+$AX20&gt;0)</formula>
    </cfRule>
    <cfRule type="expression" dxfId="592" priority="21" stopIfTrue="1">
      <formula>AND($G20&lt;&gt;"- -",$G20&lt;&gt;$Y20)</formula>
    </cfRule>
  </conditionalFormatting>
  <conditionalFormatting sqref="E21:G194">
    <cfRule type="expression" dxfId="591" priority="66" stopIfTrue="1">
      <formula>($AI21+$AX21&gt;0)</formula>
    </cfRule>
    <cfRule type="expression" dxfId="590" priority="65" stopIfTrue="1">
      <formula>AND($G21&lt;&gt;"- -",$G21&lt;&gt;$Y21)</formula>
    </cfRule>
  </conditionalFormatting>
  <conditionalFormatting sqref="G8:J8">
    <cfRule type="expression" dxfId="589" priority="75" stopIfTrue="1">
      <formula>AND(ISNUMBER(G$9),ISNUMBER(G10),(G$9&gt;G$10))</formula>
    </cfRule>
    <cfRule type="expression" dxfId="588" priority="74" stopIfTrue="1">
      <formula>(BK$13&gt;0)</formula>
    </cfRule>
  </conditionalFormatting>
  <conditionalFormatting sqref="H6:I7">
    <cfRule type="expression" dxfId="587" priority="76" stopIfTrue="1">
      <formula>AND(ISNUMBER($H$7),$H$7&lt;$I$7)</formula>
    </cfRule>
  </conditionalFormatting>
  <conditionalFormatting sqref="H21:J194">
    <cfRule type="expression" dxfId="586" priority="4" stopIfTrue="1">
      <formula>($D20=$D21)</formula>
    </cfRule>
  </conditionalFormatting>
  <conditionalFormatting sqref="J7">
    <cfRule type="cellIs" dxfId="585" priority="50" stopIfTrue="1" operator="lessThan">
      <formula>0</formula>
    </cfRule>
  </conditionalFormatting>
  <conditionalFormatting sqref="K20:K34">
    <cfRule type="expression" dxfId="584" priority="70" stopIfTrue="1">
      <formula>AND(ISNUMBER(K20),ISNUMBER(L20),OR(K20&lt;L19,K20&gt;L20))</formula>
    </cfRule>
  </conditionalFormatting>
  <conditionalFormatting sqref="K35:K194">
    <cfRule type="expression" dxfId="583" priority="59" stopIfTrue="1">
      <formula>AND(ISNUMBER(K35),OR(K35&lt;L34,K35&gt;L35,$BM35&lt;&gt;1))</formula>
    </cfRule>
  </conditionalFormatting>
  <conditionalFormatting sqref="K18:L18 BE19:BF19">
    <cfRule type="expression" dxfId="582" priority="28" stopIfTrue="1">
      <formula>($K$19=$AL$7)</formula>
    </cfRule>
  </conditionalFormatting>
  <conditionalFormatting sqref="K20:M194">
    <cfRule type="expression" dxfId="581" priority="52" stopIfTrue="1">
      <formula>OR($AJ$2=$AF$5,$AW20=0,$AV20=1,$AG20=99)</formula>
    </cfRule>
  </conditionalFormatting>
  <conditionalFormatting sqref="L20:L34">
    <cfRule type="expression" dxfId="580" priority="68" stopIfTrue="1">
      <formula>AND(ISNUMBER(L20),OR(AND(L20&lt;K19,B20&gt;1),K20&gt;L20))</formula>
    </cfRule>
  </conditionalFormatting>
  <conditionalFormatting sqref="L35:L194">
    <cfRule type="expression" dxfId="579" priority="57" stopIfTrue="1">
      <formula>AND(ISNUMBER(L35),OR(AND(L35&lt;K34,B35&gt;1),K35&gt;L35,$BN35&lt;&gt;1))</formula>
    </cfRule>
  </conditionalFormatting>
  <conditionalFormatting sqref="M19 BG20">
    <cfRule type="cellIs" dxfId="578" priority="43" stopIfTrue="1" operator="equal">
      <formula>0</formula>
    </cfRule>
    <cfRule type="expression" dxfId="577" priority="44" stopIfTrue="1">
      <formula>($AJ$2=$AF$5)</formula>
    </cfRule>
  </conditionalFormatting>
  <conditionalFormatting sqref="M20:M194">
    <cfRule type="cellIs" dxfId="576" priority="53" stopIfTrue="1" operator="lessThan">
      <formula>0</formula>
    </cfRule>
    <cfRule type="expression" dxfId="575" priority="54" stopIfTrue="1">
      <formula>($D19=$D20)</formula>
    </cfRule>
  </conditionalFormatting>
  <conditionalFormatting sqref="N19:Q19 BH20:BK20">
    <cfRule type="cellIs" dxfId="574" priority="41" stopIfTrue="1" operator="equal">
      <formula>0</formula>
    </cfRule>
    <cfRule type="expression" dxfId="573" priority="42" stopIfTrue="1">
      <formula>($AJ$2=$AF$5)</formula>
    </cfRule>
  </conditionalFormatting>
  <conditionalFormatting sqref="N20:Q194">
    <cfRule type="expression" dxfId="572" priority="51" stopIfTrue="1">
      <formula>OR($AW20=0,$AV20=1,$AG20=99,$AJ$2=$AF$5)</formula>
    </cfRule>
  </conditionalFormatting>
  <conditionalFormatting sqref="R20:R194">
    <cfRule type="expression" dxfId="571" priority="13" stopIfTrue="1">
      <formula>($AI20=1)</formula>
    </cfRule>
    <cfRule type="expression" dxfId="570" priority="12" stopIfTrue="1">
      <formula>"ND($G21&lt;&gt;""- -"",$G21&lt;&gt;TEXT(X21,""Dddd, Mmmm dd, Yyyy""))"</formula>
    </cfRule>
    <cfRule type="expression" dxfId="569" priority="11" stopIfTrue="1">
      <formula>OR($G20=$G19,$D20=$D19)</formula>
    </cfRule>
  </conditionalFormatting>
  <conditionalFormatting sqref="U5">
    <cfRule type="expression" dxfId="568" priority="24" stopIfTrue="1">
      <formula>OR($AC$7,$AC$6)</formula>
    </cfRule>
  </conditionalFormatting>
  <conditionalFormatting sqref="U18 X20:Z194 AC20:AE194 AK20:AK194 AQ20:AR194">
    <cfRule type="cellIs" dxfId="567" priority="5" stopIfTrue="1" operator="notEqual">
      <formula>U17</formula>
    </cfRule>
  </conditionalFormatting>
  <conditionalFormatting sqref="U201:AB201">
    <cfRule type="expression" dxfId="566" priority="40" stopIfTrue="1">
      <formula>(LEN($X$11)&gt;4)</formula>
    </cfRule>
  </conditionalFormatting>
  <conditionalFormatting sqref="V5:V7 J6 U6:U7">
    <cfRule type="expression" dxfId="565" priority="23" stopIfTrue="1">
      <formula>OR($AC$7,$AC$6,#REF!)</formula>
    </cfRule>
  </conditionalFormatting>
  <conditionalFormatting sqref="V19">
    <cfRule type="cellIs" dxfId="564" priority="25" stopIfTrue="1" operator="equal">
      <formula>1</formula>
    </cfRule>
  </conditionalFormatting>
  <conditionalFormatting sqref="AB6">
    <cfRule type="expression" dxfId="563" priority="31" stopIfTrue="1">
      <formula>$AC$6</formula>
    </cfRule>
  </conditionalFormatting>
  <conditionalFormatting sqref="AB7">
    <cfRule type="expression" dxfId="562" priority="30" stopIfTrue="1">
      <formula>$AC$7</formula>
    </cfRule>
  </conditionalFormatting>
  <conditionalFormatting sqref="AB20:AB194">
    <cfRule type="cellIs" dxfId="561" priority="48" stopIfTrue="1" operator="greaterThan">
      <formula>0</formula>
    </cfRule>
    <cfRule type="cellIs" dxfId="560" priority="49" stopIfTrue="1" operator="lessThan">
      <formula>0</formula>
    </cfRule>
  </conditionalFormatting>
  <conditionalFormatting sqref="AF20:AG194">
    <cfRule type="cellIs" dxfId="559" priority="34" stopIfTrue="1" operator="greaterThan">
      <formula>1</formula>
    </cfRule>
  </conditionalFormatting>
  <conditionalFormatting sqref="AJ16:AJ17 AJ20:AJ194">
    <cfRule type="cellIs" dxfId="558" priority="33" stopIfTrue="1" operator="greaterThan">
      <formula>0</formula>
    </cfRule>
  </conditionalFormatting>
  <conditionalFormatting sqref="AK2:BO2">
    <cfRule type="cellIs" dxfId="557" priority="37" stopIfTrue="1" operator="equal">
      <formula>0</formula>
    </cfRule>
  </conditionalFormatting>
  <conditionalFormatting sqref="AK5:BO6">
    <cfRule type="cellIs" dxfId="556" priority="32" stopIfTrue="1" operator="equal">
      <formula>0</formula>
    </cfRule>
  </conditionalFormatting>
  <conditionalFormatting sqref="AP20:AP194">
    <cfRule type="cellIs" dxfId="555" priority="27" stopIfTrue="1" operator="lessThan">
      <formula>999</formula>
    </cfRule>
  </conditionalFormatting>
  <conditionalFormatting sqref="AU20:AU194">
    <cfRule type="expression" dxfId="554" priority="36" stopIfTrue="1">
      <formula>LEN(AU20)&gt;2</formula>
    </cfRule>
  </conditionalFormatting>
  <conditionalFormatting sqref="AV20:AV194">
    <cfRule type="cellIs" dxfId="553" priority="35" stopIfTrue="1" operator="equal">
      <formula>1</formula>
    </cfRule>
  </conditionalFormatting>
  <conditionalFormatting sqref="AW20:AW194">
    <cfRule type="cellIs" dxfId="552" priority="47" stopIfTrue="1" operator="equal">
      <formula>0</formula>
    </cfRule>
  </conditionalFormatting>
  <conditionalFormatting sqref="BE20:BF20">
    <cfRule type="expression" dxfId="551" priority="29" stopIfTrue="1">
      <formula>($K$19=$AL$7)</formula>
    </cfRule>
  </conditionalFormatting>
  <conditionalFormatting sqref="BI10:BI12 BF11:BF12">
    <cfRule type="expression" dxfId="550" priority="8" stopIfTrue="1">
      <formula>(LEN($C$9)=0)</formula>
    </cfRule>
  </conditionalFormatting>
  <conditionalFormatting sqref="BI10:BN12 BF11:BF12">
    <cfRule type="expression" dxfId="549" priority="7" stopIfTrue="1">
      <formula>LEN($AA9)&gt;4</formula>
    </cfRule>
  </conditionalFormatting>
  <conditionalFormatting sqref="BJ10:BN12">
    <cfRule type="expression" dxfId="548" priority="10" stopIfTrue="1">
      <formula>(LEN(E$9)=0)</formula>
    </cfRule>
  </conditionalFormatting>
  <conditionalFormatting sqref="BJ13:BN13 R16:R17">
    <cfRule type="cellIs" dxfId="547" priority="26" stopIfTrue="1" operator="equal">
      <formula>0</formula>
    </cfRule>
  </conditionalFormatting>
  <conditionalFormatting sqref="BM20:BN194">
    <cfRule type="cellIs" dxfId="546" priority="55" stopIfTrue="1" operator="notEqual">
      <formula>1</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automobile/2026/[electronic-car-log-2025-fr.xlsx]05</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05</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31</v>
      </c>
      <c r="BQ4" s="251"/>
      <c r="BR4" s="7"/>
      <c r="BS4" s="7"/>
      <c r="BT4" s="7"/>
      <c r="IU4" s="16"/>
    </row>
    <row r="5" spans="1:255" ht="15.75" customHeight="1">
      <c r="B5" s="767" t="str">
        <f ca="1">V17</f>
        <v>mai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May</v>
      </c>
      <c r="AF5" s="136">
        <f ca="1">DATE(AE7,AD6+1,1)-DATE(AE7,AD6,1)</f>
        <v>31</v>
      </c>
      <c r="AG5" s="178" t="str">
        <f ca="1">'NTS ONLY_set_year'!E104&amp;$AF$5&amp;'NTS ONLY_set_year'!E7</f>
        <v>◄ ◄ ◄ Seulement 31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31</v>
      </c>
      <c r="V6" s="263" t="str">
        <f>'NTS ONLY_set_year'!E53</f>
        <v>Jours de disponibilité du véhicule à des fins personnelles</v>
      </c>
      <c r="W6" s="264"/>
      <c r="X6" s="264"/>
      <c r="Y6" s="264"/>
      <c r="Z6" s="264"/>
      <c r="AA6" s="265">
        <f>$D$7</f>
        <v>0</v>
      </c>
      <c r="AB6" s="141"/>
      <c r="AC6" s="142"/>
      <c r="AD6" s="266">
        <f ca="1">MATCH(AD4,'Annual Summary_Sommaire annuel'!$Y$24:$Y$35,0)</f>
        <v>5</v>
      </c>
      <c r="AE6" s="144" t="str">
        <f ca="1">TEXT(DATE($AE$7,$AD$6,1),"Mmmm, YYYY")</f>
        <v>May, 2026</v>
      </c>
      <c r="AF6" s="145">
        <f ca="1">$AF$5</f>
        <v>31</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31</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46142</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31</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31</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mai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May</v>
      </c>
      <c r="V18" s="510" t="str">
        <f ca="1">AE6</f>
        <v>May,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mai</v>
      </c>
      <c r="V19" s="510" t="str">
        <f ca="1">U19&amp;" "&amp;Year_four_digits</f>
        <v>mai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Ven.  1 mai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Ven</v>
      </c>
      <c r="U20" s="186" t="str">
        <f ca="1">$U$19</f>
        <v>mai</v>
      </c>
      <c r="X20" s="347">
        <f ca="1">$AE$8+D20</f>
        <v>46143</v>
      </c>
      <c r="Y20" s="452" t="str">
        <f ca="1">IF(Y14="f",T20&amp;". "&amp;" "&amp;R20&amp;" "&amp;U20&amp;" "&amp;$AE$7,T20&amp;". "&amp;U20&amp;" "&amp;R20&amp;", "&amp;$AE$7)</f>
        <v>Ven.  1 mai 2026</v>
      </c>
      <c r="Z20" s="143">
        <f t="shared" ref="Z20:Z83" ca="1" si="4">MIN(R20,$AF$5)</f>
        <v>1</v>
      </c>
      <c r="AA20" s="348">
        <f t="shared" ref="AA20:AA83" ca="1" si="5">$AD$6</f>
        <v>5</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31</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Jeu</v>
      </c>
      <c r="U21" s="186" t="str">
        <f t="shared" ref="U21:U84" ca="1" si="13">$U$19</f>
        <v>mai</v>
      </c>
      <c r="X21" s="347">
        <f ca="1">$AE$8+D21</f>
        <v>46142</v>
      </c>
      <c r="Y21" s="452" t="str">
        <f t="shared" ref="Y21:Y84" ca="1" si="14">IF(Y15="f",T21&amp;". "&amp;" "&amp;R21&amp;" "&amp;U21&amp;" "&amp;$AE$7,T21&amp;". "&amp;U21&amp;" "&amp;R21&amp;", "&amp;$AE$7)</f>
        <v>Jeu. mai , 2026</v>
      </c>
      <c r="Z21" s="143">
        <f t="shared" ca="1" si="4"/>
        <v>31</v>
      </c>
      <c r="AA21" s="348">
        <f t="shared" ca="1" si="5"/>
        <v>5</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Jeu</v>
      </c>
      <c r="U22" s="186" t="str">
        <f t="shared" ca="1" si="13"/>
        <v>mai</v>
      </c>
      <c r="X22" s="347">
        <f t="shared" ref="X22:X85" ca="1" si="17">$AE$8+D22</f>
        <v>46142</v>
      </c>
      <c r="Y22" s="452" t="str">
        <f t="shared" ca="1" si="14"/>
        <v>Jeu. mai , 2026</v>
      </c>
      <c r="Z22" s="143">
        <f t="shared" ca="1" si="4"/>
        <v>31</v>
      </c>
      <c r="AA22" s="348">
        <f t="shared" ca="1" si="5"/>
        <v>5</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Jeu</v>
      </c>
      <c r="U23" s="186" t="str">
        <f t="shared" ca="1" si="13"/>
        <v>mai</v>
      </c>
      <c r="X23" s="347">
        <f t="shared" ca="1" si="17"/>
        <v>46142</v>
      </c>
      <c r="Y23" s="452" t="str">
        <f t="shared" ca="1" si="14"/>
        <v>Jeu. mai , 2026</v>
      </c>
      <c r="Z23" s="143">
        <f t="shared" ca="1" si="4"/>
        <v>31</v>
      </c>
      <c r="AA23" s="348">
        <f t="shared" ca="1" si="5"/>
        <v>5</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Jeu</v>
      </c>
      <c r="U24" s="186" t="str">
        <f t="shared" ca="1" si="13"/>
        <v>mai</v>
      </c>
      <c r="X24" s="347">
        <f t="shared" ca="1" si="17"/>
        <v>46142</v>
      </c>
      <c r="Y24" s="452" t="str">
        <f t="shared" ca="1" si="14"/>
        <v>Jeu. mai , 2026</v>
      </c>
      <c r="Z24" s="143">
        <f t="shared" ca="1" si="4"/>
        <v>31</v>
      </c>
      <c r="AA24" s="348">
        <f t="shared" ca="1" si="5"/>
        <v>5</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Jeu</v>
      </c>
      <c r="U25" s="186" t="str">
        <f t="shared" ca="1" si="13"/>
        <v>mai</v>
      </c>
      <c r="X25" s="347">
        <f t="shared" ca="1" si="17"/>
        <v>46142</v>
      </c>
      <c r="Y25" s="452" t="str">
        <f t="shared" ca="1" si="14"/>
        <v>Jeu. mai , 2026</v>
      </c>
      <c r="Z25" s="143">
        <f t="shared" ca="1" si="4"/>
        <v>31</v>
      </c>
      <c r="AA25" s="348">
        <f t="shared" ca="1" si="5"/>
        <v>5</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Jeu</v>
      </c>
      <c r="U26" s="186" t="str">
        <f t="shared" ca="1" si="13"/>
        <v>mai</v>
      </c>
      <c r="X26" s="347">
        <f t="shared" ca="1" si="17"/>
        <v>46142</v>
      </c>
      <c r="Y26" s="452" t="str">
        <f t="shared" ca="1" si="14"/>
        <v>Jeu. mai , 2026</v>
      </c>
      <c r="Z26" s="143">
        <f t="shared" ca="1" si="4"/>
        <v>31</v>
      </c>
      <c r="AA26" s="348">
        <f t="shared" ca="1" si="5"/>
        <v>5</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Jeu</v>
      </c>
      <c r="U27" s="186" t="str">
        <f t="shared" ca="1" si="13"/>
        <v>mai</v>
      </c>
      <c r="X27" s="347">
        <f t="shared" ca="1" si="17"/>
        <v>46142</v>
      </c>
      <c r="Y27" s="452" t="str">
        <f t="shared" ca="1" si="14"/>
        <v>Jeu. mai , 2026</v>
      </c>
      <c r="Z27" s="143">
        <f t="shared" ca="1" si="4"/>
        <v>31</v>
      </c>
      <c r="AA27" s="348">
        <f t="shared" ca="1" si="5"/>
        <v>5</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Jeu</v>
      </c>
      <c r="U28" s="186" t="str">
        <f t="shared" ca="1" si="13"/>
        <v>mai</v>
      </c>
      <c r="X28" s="347">
        <f t="shared" ca="1" si="17"/>
        <v>46142</v>
      </c>
      <c r="Y28" s="452" t="str">
        <f t="shared" ca="1" si="14"/>
        <v>Jeu. mai , 2026</v>
      </c>
      <c r="Z28" s="143">
        <f t="shared" ca="1" si="4"/>
        <v>31</v>
      </c>
      <c r="AA28" s="348">
        <f t="shared" ca="1" si="5"/>
        <v>5</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Jeu</v>
      </c>
      <c r="U29" s="186" t="str">
        <f t="shared" ca="1" si="13"/>
        <v>mai</v>
      </c>
      <c r="X29" s="347">
        <f t="shared" ca="1" si="17"/>
        <v>46142</v>
      </c>
      <c r="Y29" s="452" t="str">
        <f t="shared" ca="1" si="14"/>
        <v>Jeu. mai , 2026</v>
      </c>
      <c r="Z29" s="143">
        <f t="shared" ca="1" si="4"/>
        <v>31</v>
      </c>
      <c r="AA29" s="348">
        <f t="shared" ca="1" si="5"/>
        <v>5</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Jeu</v>
      </c>
      <c r="U30" s="186" t="str">
        <f t="shared" ca="1" si="13"/>
        <v>mai</v>
      </c>
      <c r="X30" s="347">
        <f t="shared" ca="1" si="17"/>
        <v>46142</v>
      </c>
      <c r="Y30" s="452" t="str">
        <f t="shared" ca="1" si="14"/>
        <v>Jeu. mai , 2026</v>
      </c>
      <c r="Z30" s="143">
        <f t="shared" ca="1" si="4"/>
        <v>31</v>
      </c>
      <c r="AA30" s="348">
        <f t="shared" ca="1" si="5"/>
        <v>5</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Jeu</v>
      </c>
      <c r="U31" s="186" t="str">
        <f t="shared" ca="1" si="13"/>
        <v>mai</v>
      </c>
      <c r="X31" s="347">
        <f t="shared" ca="1" si="17"/>
        <v>46142</v>
      </c>
      <c r="Y31" s="452" t="str">
        <f t="shared" ca="1" si="14"/>
        <v>Jeu. mai , 2026</v>
      </c>
      <c r="Z31" s="143">
        <f t="shared" ca="1" si="4"/>
        <v>31</v>
      </c>
      <c r="AA31" s="348">
        <f t="shared" ca="1" si="5"/>
        <v>5</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Jeu</v>
      </c>
      <c r="U32" s="186" t="str">
        <f t="shared" ca="1" si="13"/>
        <v>mai</v>
      </c>
      <c r="X32" s="347">
        <f t="shared" ca="1" si="17"/>
        <v>46142</v>
      </c>
      <c r="Y32" s="452" t="str">
        <f t="shared" ca="1" si="14"/>
        <v>Jeu. mai , 2026</v>
      </c>
      <c r="Z32" s="143">
        <f t="shared" ca="1" si="4"/>
        <v>31</v>
      </c>
      <c r="AA32" s="348">
        <f t="shared" ca="1" si="5"/>
        <v>5</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Jeu</v>
      </c>
      <c r="U33" s="186" t="str">
        <f t="shared" ca="1" si="13"/>
        <v>mai</v>
      </c>
      <c r="X33" s="347">
        <f t="shared" ca="1" si="17"/>
        <v>46142</v>
      </c>
      <c r="Y33" s="452" t="str">
        <f t="shared" ca="1" si="14"/>
        <v>Jeu. mai , 2026</v>
      </c>
      <c r="Z33" s="143">
        <f t="shared" ca="1" si="4"/>
        <v>31</v>
      </c>
      <c r="AA33" s="348">
        <f t="shared" ca="1" si="5"/>
        <v>5</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Jeu</v>
      </c>
      <c r="U34" s="186" t="str">
        <f t="shared" ca="1" si="13"/>
        <v>mai</v>
      </c>
      <c r="X34" s="347">
        <f t="shared" ca="1" si="17"/>
        <v>46142</v>
      </c>
      <c r="Y34" s="452" t="str">
        <f t="shared" ca="1" si="14"/>
        <v>Jeu. mai , 2026</v>
      </c>
      <c r="Z34" s="143">
        <f t="shared" ca="1" si="4"/>
        <v>31</v>
      </c>
      <c r="AA34" s="348">
        <f t="shared" ca="1" si="5"/>
        <v>5</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Jeu</v>
      </c>
      <c r="U35" s="186" t="str">
        <f t="shared" ca="1" si="13"/>
        <v>mai</v>
      </c>
      <c r="X35" s="347">
        <f t="shared" ca="1" si="17"/>
        <v>46142</v>
      </c>
      <c r="Y35" s="452" t="str">
        <f t="shared" ca="1" si="14"/>
        <v>Jeu. mai , 2026</v>
      </c>
      <c r="Z35" s="143">
        <f t="shared" ca="1" si="4"/>
        <v>31</v>
      </c>
      <c r="AA35" s="348">
        <f t="shared" ca="1" si="5"/>
        <v>5</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Jeu</v>
      </c>
      <c r="U36" s="186" t="str">
        <f t="shared" ca="1" si="13"/>
        <v>mai</v>
      </c>
      <c r="X36" s="347">
        <f t="shared" ca="1" si="17"/>
        <v>46142</v>
      </c>
      <c r="Y36" s="452" t="str">
        <f t="shared" ca="1" si="14"/>
        <v>Jeu. mai , 2026</v>
      </c>
      <c r="Z36" s="143">
        <f t="shared" ca="1" si="4"/>
        <v>31</v>
      </c>
      <c r="AA36" s="348">
        <f t="shared" ca="1" si="5"/>
        <v>5</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Jeu</v>
      </c>
      <c r="U37" s="186" t="str">
        <f t="shared" ca="1" si="13"/>
        <v>mai</v>
      </c>
      <c r="X37" s="347">
        <f t="shared" ca="1" si="17"/>
        <v>46142</v>
      </c>
      <c r="Y37" s="452" t="str">
        <f t="shared" ca="1" si="14"/>
        <v>Jeu. mai , 2026</v>
      </c>
      <c r="Z37" s="143">
        <f t="shared" ca="1" si="4"/>
        <v>31</v>
      </c>
      <c r="AA37" s="348">
        <f t="shared" ca="1" si="5"/>
        <v>5</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Jeu</v>
      </c>
      <c r="U38" s="186" t="str">
        <f t="shared" ca="1" si="13"/>
        <v>mai</v>
      </c>
      <c r="X38" s="347">
        <f t="shared" ca="1" si="17"/>
        <v>46142</v>
      </c>
      <c r="Y38" s="452" t="str">
        <f t="shared" ca="1" si="14"/>
        <v>Jeu. mai , 2026</v>
      </c>
      <c r="Z38" s="143">
        <f t="shared" ca="1" si="4"/>
        <v>31</v>
      </c>
      <c r="AA38" s="348">
        <f t="shared" ca="1" si="5"/>
        <v>5</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Jeu</v>
      </c>
      <c r="U39" s="186" t="str">
        <f t="shared" ca="1" si="13"/>
        <v>mai</v>
      </c>
      <c r="X39" s="347">
        <f t="shared" ca="1" si="17"/>
        <v>46142</v>
      </c>
      <c r="Y39" s="452" t="str">
        <f t="shared" ca="1" si="14"/>
        <v>Jeu. mai , 2026</v>
      </c>
      <c r="Z39" s="143">
        <f t="shared" ca="1" si="4"/>
        <v>31</v>
      </c>
      <c r="AA39" s="348">
        <f t="shared" ca="1" si="5"/>
        <v>5</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Jeu</v>
      </c>
      <c r="U40" s="186" t="str">
        <f t="shared" ca="1" si="13"/>
        <v>mai</v>
      </c>
      <c r="X40" s="347">
        <f t="shared" ca="1" si="17"/>
        <v>46142</v>
      </c>
      <c r="Y40" s="452" t="str">
        <f t="shared" ca="1" si="14"/>
        <v>Jeu. mai , 2026</v>
      </c>
      <c r="Z40" s="143">
        <f t="shared" ca="1" si="4"/>
        <v>31</v>
      </c>
      <c r="AA40" s="348">
        <f t="shared" ca="1" si="5"/>
        <v>5</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Jeu</v>
      </c>
      <c r="U41" s="186" t="str">
        <f t="shared" ca="1" si="13"/>
        <v>mai</v>
      </c>
      <c r="X41" s="347">
        <f t="shared" ca="1" si="17"/>
        <v>46142</v>
      </c>
      <c r="Y41" s="452" t="str">
        <f t="shared" ca="1" si="14"/>
        <v>Jeu. mai , 2026</v>
      </c>
      <c r="Z41" s="143">
        <f t="shared" ca="1" si="4"/>
        <v>31</v>
      </c>
      <c r="AA41" s="348">
        <f t="shared" ca="1" si="5"/>
        <v>5</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Jeu</v>
      </c>
      <c r="U42" s="186" t="str">
        <f t="shared" ca="1" si="13"/>
        <v>mai</v>
      </c>
      <c r="X42" s="347">
        <f t="shared" ca="1" si="17"/>
        <v>46142</v>
      </c>
      <c r="Y42" s="452" t="str">
        <f t="shared" ca="1" si="14"/>
        <v>Jeu. mai , 2026</v>
      </c>
      <c r="Z42" s="143">
        <f t="shared" ca="1" si="4"/>
        <v>31</v>
      </c>
      <c r="AA42" s="348">
        <f t="shared" ca="1" si="5"/>
        <v>5</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Jeu</v>
      </c>
      <c r="U43" s="186" t="str">
        <f t="shared" ca="1" si="13"/>
        <v>mai</v>
      </c>
      <c r="X43" s="347">
        <f t="shared" ca="1" si="17"/>
        <v>46142</v>
      </c>
      <c r="Y43" s="452" t="str">
        <f t="shared" ca="1" si="14"/>
        <v>Jeu. mai , 2026</v>
      </c>
      <c r="Z43" s="143">
        <f t="shared" ca="1" si="4"/>
        <v>31</v>
      </c>
      <c r="AA43" s="348">
        <f t="shared" ca="1" si="5"/>
        <v>5</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Jeu</v>
      </c>
      <c r="U44" s="186" t="str">
        <f t="shared" ca="1" si="13"/>
        <v>mai</v>
      </c>
      <c r="X44" s="347">
        <f t="shared" ca="1" si="17"/>
        <v>46142</v>
      </c>
      <c r="Y44" s="452" t="str">
        <f t="shared" ca="1" si="14"/>
        <v>Jeu. mai , 2026</v>
      </c>
      <c r="Z44" s="143">
        <f t="shared" ca="1" si="4"/>
        <v>31</v>
      </c>
      <c r="AA44" s="348">
        <f t="shared" ca="1" si="5"/>
        <v>5</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Jeu</v>
      </c>
      <c r="U45" s="186" t="str">
        <f t="shared" ca="1" si="13"/>
        <v>mai</v>
      </c>
      <c r="X45" s="347">
        <f t="shared" ca="1" si="17"/>
        <v>46142</v>
      </c>
      <c r="Y45" s="452" t="str">
        <f t="shared" ca="1" si="14"/>
        <v>Jeu. mai , 2026</v>
      </c>
      <c r="Z45" s="143">
        <f t="shared" ca="1" si="4"/>
        <v>31</v>
      </c>
      <c r="AA45" s="348">
        <f t="shared" ca="1" si="5"/>
        <v>5</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Jeu</v>
      </c>
      <c r="U46" s="186" t="str">
        <f t="shared" ca="1" si="13"/>
        <v>mai</v>
      </c>
      <c r="X46" s="347">
        <f t="shared" ca="1" si="17"/>
        <v>46142</v>
      </c>
      <c r="Y46" s="452" t="str">
        <f t="shared" ca="1" si="14"/>
        <v>Jeu. mai , 2026</v>
      </c>
      <c r="Z46" s="143">
        <f t="shared" ca="1" si="4"/>
        <v>31</v>
      </c>
      <c r="AA46" s="348">
        <f t="shared" ca="1" si="5"/>
        <v>5</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Jeu</v>
      </c>
      <c r="U47" s="186" t="str">
        <f t="shared" ca="1" si="13"/>
        <v>mai</v>
      </c>
      <c r="X47" s="347">
        <f t="shared" ca="1" si="17"/>
        <v>46142</v>
      </c>
      <c r="Y47" s="452" t="str">
        <f t="shared" ca="1" si="14"/>
        <v>Jeu. mai , 2026</v>
      </c>
      <c r="Z47" s="143">
        <f t="shared" ca="1" si="4"/>
        <v>31</v>
      </c>
      <c r="AA47" s="348">
        <f t="shared" ca="1" si="5"/>
        <v>5</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Jeu</v>
      </c>
      <c r="U48" s="186" t="str">
        <f t="shared" ca="1" si="13"/>
        <v>mai</v>
      </c>
      <c r="X48" s="347">
        <f t="shared" ca="1" si="17"/>
        <v>46142</v>
      </c>
      <c r="Y48" s="452" t="str">
        <f t="shared" ca="1" si="14"/>
        <v>Jeu. mai , 2026</v>
      </c>
      <c r="Z48" s="143">
        <f t="shared" ca="1" si="4"/>
        <v>31</v>
      </c>
      <c r="AA48" s="348">
        <f t="shared" ca="1" si="5"/>
        <v>5</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Jeu</v>
      </c>
      <c r="U49" s="186" t="str">
        <f t="shared" ca="1" si="13"/>
        <v>mai</v>
      </c>
      <c r="X49" s="347">
        <f t="shared" ca="1" si="17"/>
        <v>46142</v>
      </c>
      <c r="Y49" s="452" t="str">
        <f t="shared" ca="1" si="14"/>
        <v>Jeu. mai , 2026</v>
      </c>
      <c r="Z49" s="143">
        <f t="shared" ca="1" si="4"/>
        <v>31</v>
      </c>
      <c r="AA49" s="348">
        <f t="shared" ca="1" si="5"/>
        <v>5</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Jeu</v>
      </c>
      <c r="U50" s="186" t="str">
        <f t="shared" ca="1" si="13"/>
        <v>mai</v>
      </c>
      <c r="X50" s="347">
        <f t="shared" ca="1" si="17"/>
        <v>46142</v>
      </c>
      <c r="Y50" s="452" t="str">
        <f t="shared" ca="1" si="14"/>
        <v>Jeu. mai , 2026</v>
      </c>
      <c r="Z50" s="143">
        <f t="shared" ca="1" si="4"/>
        <v>31</v>
      </c>
      <c r="AA50" s="348">
        <f t="shared" ca="1" si="5"/>
        <v>5</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Jeu</v>
      </c>
      <c r="U51" s="186" t="str">
        <f t="shared" ca="1" si="13"/>
        <v>mai</v>
      </c>
      <c r="X51" s="347">
        <f t="shared" ca="1" si="17"/>
        <v>46142</v>
      </c>
      <c r="Y51" s="452" t="str">
        <f t="shared" ca="1" si="14"/>
        <v>Jeu. mai , 2026</v>
      </c>
      <c r="Z51" s="143">
        <f t="shared" ca="1" si="4"/>
        <v>31</v>
      </c>
      <c r="AA51" s="348">
        <f t="shared" ca="1" si="5"/>
        <v>5</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Jeu</v>
      </c>
      <c r="U52" s="186" t="str">
        <f t="shared" ca="1" si="13"/>
        <v>mai</v>
      </c>
      <c r="X52" s="347">
        <f t="shared" ca="1" si="17"/>
        <v>46142</v>
      </c>
      <c r="Y52" s="452" t="str">
        <f t="shared" ca="1" si="14"/>
        <v>Jeu. mai , 2026</v>
      </c>
      <c r="Z52" s="143">
        <f t="shared" ca="1" si="4"/>
        <v>31</v>
      </c>
      <c r="AA52" s="348">
        <f t="shared" ca="1" si="5"/>
        <v>5</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Jeu</v>
      </c>
      <c r="U53" s="186" t="str">
        <f t="shared" ca="1" si="13"/>
        <v>mai</v>
      </c>
      <c r="X53" s="347">
        <f t="shared" ca="1" si="17"/>
        <v>46142</v>
      </c>
      <c r="Y53" s="452" t="str">
        <f t="shared" ca="1" si="14"/>
        <v>Jeu. mai , 2026</v>
      </c>
      <c r="Z53" s="143">
        <f t="shared" ca="1" si="4"/>
        <v>31</v>
      </c>
      <c r="AA53" s="348">
        <f t="shared" ca="1" si="5"/>
        <v>5</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Jeu</v>
      </c>
      <c r="U54" s="186" t="str">
        <f t="shared" ca="1" si="13"/>
        <v>mai</v>
      </c>
      <c r="X54" s="347">
        <f t="shared" ca="1" si="17"/>
        <v>46142</v>
      </c>
      <c r="Y54" s="452" t="str">
        <f t="shared" ca="1" si="14"/>
        <v>Jeu. mai , 2026</v>
      </c>
      <c r="Z54" s="143">
        <f t="shared" ca="1" si="4"/>
        <v>31</v>
      </c>
      <c r="AA54" s="348">
        <f t="shared" ca="1" si="5"/>
        <v>5</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Jeu</v>
      </c>
      <c r="U55" s="186" t="str">
        <f t="shared" ca="1" si="13"/>
        <v>mai</v>
      </c>
      <c r="X55" s="347">
        <f t="shared" ca="1" si="17"/>
        <v>46142</v>
      </c>
      <c r="Y55" s="452" t="str">
        <f t="shared" ca="1" si="14"/>
        <v>Jeu. mai , 2026</v>
      </c>
      <c r="Z55" s="143">
        <f t="shared" ca="1" si="4"/>
        <v>31</v>
      </c>
      <c r="AA55" s="348">
        <f t="shared" ca="1" si="5"/>
        <v>5</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Jeu</v>
      </c>
      <c r="U56" s="186" t="str">
        <f t="shared" ca="1" si="13"/>
        <v>mai</v>
      </c>
      <c r="X56" s="347">
        <f t="shared" ca="1" si="17"/>
        <v>46142</v>
      </c>
      <c r="Y56" s="452" t="str">
        <f t="shared" ca="1" si="14"/>
        <v>Jeu. mai , 2026</v>
      </c>
      <c r="Z56" s="143">
        <f t="shared" ca="1" si="4"/>
        <v>31</v>
      </c>
      <c r="AA56" s="348">
        <f t="shared" ca="1" si="5"/>
        <v>5</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Jeu</v>
      </c>
      <c r="U57" s="186" t="str">
        <f t="shared" ca="1" si="13"/>
        <v>mai</v>
      </c>
      <c r="X57" s="347">
        <f t="shared" ca="1" si="17"/>
        <v>46142</v>
      </c>
      <c r="Y57" s="452" t="str">
        <f t="shared" ca="1" si="14"/>
        <v>Jeu. mai , 2026</v>
      </c>
      <c r="Z57" s="143">
        <f t="shared" ca="1" si="4"/>
        <v>31</v>
      </c>
      <c r="AA57" s="348">
        <f t="shared" ca="1" si="5"/>
        <v>5</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Jeu</v>
      </c>
      <c r="U58" s="186" t="str">
        <f t="shared" ca="1" si="13"/>
        <v>mai</v>
      </c>
      <c r="X58" s="347">
        <f t="shared" ca="1" si="17"/>
        <v>46142</v>
      </c>
      <c r="Y58" s="452" t="str">
        <f t="shared" ca="1" si="14"/>
        <v>Jeu. mai , 2026</v>
      </c>
      <c r="Z58" s="143">
        <f t="shared" ca="1" si="4"/>
        <v>31</v>
      </c>
      <c r="AA58" s="348">
        <f t="shared" ca="1" si="5"/>
        <v>5</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Jeu</v>
      </c>
      <c r="U59" s="186" t="str">
        <f t="shared" ca="1" si="13"/>
        <v>mai</v>
      </c>
      <c r="X59" s="347">
        <f t="shared" ca="1" si="17"/>
        <v>46142</v>
      </c>
      <c r="Y59" s="452" t="str">
        <f t="shared" ca="1" si="14"/>
        <v>Jeu. mai , 2026</v>
      </c>
      <c r="Z59" s="143">
        <f t="shared" ca="1" si="4"/>
        <v>31</v>
      </c>
      <c r="AA59" s="348">
        <f t="shared" ca="1" si="5"/>
        <v>5</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Jeu</v>
      </c>
      <c r="U60" s="186" t="str">
        <f t="shared" ca="1" si="13"/>
        <v>mai</v>
      </c>
      <c r="X60" s="347">
        <f t="shared" ca="1" si="17"/>
        <v>46142</v>
      </c>
      <c r="Y60" s="452" t="str">
        <f t="shared" ca="1" si="14"/>
        <v>Jeu. mai , 2026</v>
      </c>
      <c r="Z60" s="143">
        <f t="shared" ca="1" si="4"/>
        <v>31</v>
      </c>
      <c r="AA60" s="348">
        <f t="shared" ca="1" si="5"/>
        <v>5</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Jeu</v>
      </c>
      <c r="U61" s="186" t="str">
        <f t="shared" ca="1" si="13"/>
        <v>mai</v>
      </c>
      <c r="X61" s="347">
        <f t="shared" ca="1" si="17"/>
        <v>46142</v>
      </c>
      <c r="Y61" s="452" t="str">
        <f t="shared" ca="1" si="14"/>
        <v>Jeu. mai , 2026</v>
      </c>
      <c r="Z61" s="143">
        <f t="shared" ca="1" si="4"/>
        <v>31</v>
      </c>
      <c r="AA61" s="348">
        <f t="shared" ca="1" si="5"/>
        <v>5</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Jeu</v>
      </c>
      <c r="U62" s="186" t="str">
        <f t="shared" ca="1" si="13"/>
        <v>mai</v>
      </c>
      <c r="X62" s="347">
        <f t="shared" ca="1" si="17"/>
        <v>46142</v>
      </c>
      <c r="Y62" s="452" t="str">
        <f t="shared" ca="1" si="14"/>
        <v>Jeu. mai , 2026</v>
      </c>
      <c r="Z62" s="143">
        <f t="shared" ca="1" si="4"/>
        <v>31</v>
      </c>
      <c r="AA62" s="348">
        <f t="shared" ca="1" si="5"/>
        <v>5</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Jeu</v>
      </c>
      <c r="U63" s="186" t="str">
        <f t="shared" ca="1" si="13"/>
        <v>mai</v>
      </c>
      <c r="X63" s="347">
        <f t="shared" ca="1" si="17"/>
        <v>46142</v>
      </c>
      <c r="Y63" s="452" t="str">
        <f t="shared" ca="1" si="14"/>
        <v>Jeu. mai , 2026</v>
      </c>
      <c r="Z63" s="143">
        <f t="shared" ca="1" si="4"/>
        <v>31</v>
      </c>
      <c r="AA63" s="348">
        <f t="shared" ca="1" si="5"/>
        <v>5</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Jeu</v>
      </c>
      <c r="U64" s="186" t="str">
        <f t="shared" ca="1" si="13"/>
        <v>mai</v>
      </c>
      <c r="X64" s="347">
        <f t="shared" ca="1" si="17"/>
        <v>46142</v>
      </c>
      <c r="Y64" s="452" t="str">
        <f t="shared" ca="1" si="14"/>
        <v>Jeu. mai , 2026</v>
      </c>
      <c r="Z64" s="143">
        <f t="shared" ca="1" si="4"/>
        <v>31</v>
      </c>
      <c r="AA64" s="348">
        <f t="shared" ca="1" si="5"/>
        <v>5</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Jeu</v>
      </c>
      <c r="U65" s="186" t="str">
        <f t="shared" ca="1" si="13"/>
        <v>mai</v>
      </c>
      <c r="X65" s="347">
        <f t="shared" ca="1" si="17"/>
        <v>46142</v>
      </c>
      <c r="Y65" s="452" t="str">
        <f t="shared" ca="1" si="14"/>
        <v>Jeu. mai , 2026</v>
      </c>
      <c r="Z65" s="143">
        <f t="shared" ca="1" si="4"/>
        <v>31</v>
      </c>
      <c r="AA65" s="348">
        <f t="shared" ca="1" si="5"/>
        <v>5</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Jeu</v>
      </c>
      <c r="U66" s="186" t="str">
        <f t="shared" ca="1" si="13"/>
        <v>mai</v>
      </c>
      <c r="X66" s="347">
        <f t="shared" ca="1" si="17"/>
        <v>46142</v>
      </c>
      <c r="Y66" s="452" t="str">
        <f t="shared" ca="1" si="14"/>
        <v>Jeu. mai , 2026</v>
      </c>
      <c r="Z66" s="143">
        <f t="shared" ca="1" si="4"/>
        <v>31</v>
      </c>
      <c r="AA66" s="348">
        <f t="shared" ca="1" si="5"/>
        <v>5</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Jeu</v>
      </c>
      <c r="U67" s="186" t="str">
        <f t="shared" ca="1" si="13"/>
        <v>mai</v>
      </c>
      <c r="X67" s="347">
        <f t="shared" ca="1" si="17"/>
        <v>46142</v>
      </c>
      <c r="Y67" s="452" t="str">
        <f t="shared" ca="1" si="14"/>
        <v>Jeu. mai , 2026</v>
      </c>
      <c r="Z67" s="143">
        <f t="shared" ca="1" si="4"/>
        <v>31</v>
      </c>
      <c r="AA67" s="348">
        <f t="shared" ca="1" si="5"/>
        <v>5</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Jeu</v>
      </c>
      <c r="U68" s="186" t="str">
        <f t="shared" ca="1" si="13"/>
        <v>mai</v>
      </c>
      <c r="X68" s="347">
        <f t="shared" ca="1" si="17"/>
        <v>46142</v>
      </c>
      <c r="Y68" s="452" t="str">
        <f t="shared" ca="1" si="14"/>
        <v>Jeu. mai , 2026</v>
      </c>
      <c r="Z68" s="143">
        <f t="shared" ca="1" si="4"/>
        <v>31</v>
      </c>
      <c r="AA68" s="348">
        <f t="shared" ca="1" si="5"/>
        <v>5</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Jeu</v>
      </c>
      <c r="U69" s="186" t="str">
        <f t="shared" ca="1" si="13"/>
        <v>mai</v>
      </c>
      <c r="X69" s="347">
        <f t="shared" ca="1" si="17"/>
        <v>46142</v>
      </c>
      <c r="Y69" s="452" t="str">
        <f t="shared" ca="1" si="14"/>
        <v>Jeu. mai , 2026</v>
      </c>
      <c r="Z69" s="143">
        <f t="shared" ca="1" si="4"/>
        <v>31</v>
      </c>
      <c r="AA69" s="348">
        <f t="shared" ca="1" si="5"/>
        <v>5</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Jeu</v>
      </c>
      <c r="U70" s="186" t="str">
        <f t="shared" ca="1" si="13"/>
        <v>mai</v>
      </c>
      <c r="X70" s="347">
        <f t="shared" ca="1" si="17"/>
        <v>46142</v>
      </c>
      <c r="Y70" s="452" t="str">
        <f t="shared" ca="1" si="14"/>
        <v>Jeu. mai , 2026</v>
      </c>
      <c r="Z70" s="143">
        <f t="shared" ca="1" si="4"/>
        <v>31</v>
      </c>
      <c r="AA70" s="348">
        <f t="shared" ca="1" si="5"/>
        <v>5</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Jeu</v>
      </c>
      <c r="U71" s="186" t="str">
        <f t="shared" ca="1" si="13"/>
        <v>mai</v>
      </c>
      <c r="X71" s="347">
        <f t="shared" ca="1" si="17"/>
        <v>46142</v>
      </c>
      <c r="Y71" s="452" t="str">
        <f t="shared" ca="1" si="14"/>
        <v>Jeu. mai , 2026</v>
      </c>
      <c r="Z71" s="143">
        <f t="shared" ca="1" si="4"/>
        <v>31</v>
      </c>
      <c r="AA71" s="348">
        <f t="shared" ca="1" si="5"/>
        <v>5</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Jeu</v>
      </c>
      <c r="U72" s="186" t="str">
        <f t="shared" ca="1" si="13"/>
        <v>mai</v>
      </c>
      <c r="X72" s="347">
        <f t="shared" ca="1" si="17"/>
        <v>46142</v>
      </c>
      <c r="Y72" s="452" t="str">
        <f t="shared" ca="1" si="14"/>
        <v>Jeu. mai , 2026</v>
      </c>
      <c r="Z72" s="143">
        <f t="shared" ca="1" si="4"/>
        <v>31</v>
      </c>
      <c r="AA72" s="348">
        <f t="shared" ca="1" si="5"/>
        <v>5</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Jeu</v>
      </c>
      <c r="U73" s="186" t="str">
        <f t="shared" ca="1" si="13"/>
        <v>mai</v>
      </c>
      <c r="X73" s="347">
        <f t="shared" ca="1" si="17"/>
        <v>46142</v>
      </c>
      <c r="Y73" s="452" t="str">
        <f t="shared" ca="1" si="14"/>
        <v>Jeu. mai , 2026</v>
      </c>
      <c r="Z73" s="143">
        <f t="shared" ca="1" si="4"/>
        <v>31</v>
      </c>
      <c r="AA73" s="348">
        <f t="shared" ca="1" si="5"/>
        <v>5</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Jeu</v>
      </c>
      <c r="U74" s="186" t="str">
        <f t="shared" ca="1" si="13"/>
        <v>mai</v>
      </c>
      <c r="X74" s="347">
        <f t="shared" ca="1" si="17"/>
        <v>46142</v>
      </c>
      <c r="Y74" s="452" t="str">
        <f t="shared" ca="1" si="14"/>
        <v>Jeu. mai , 2026</v>
      </c>
      <c r="Z74" s="143">
        <f t="shared" ca="1" si="4"/>
        <v>31</v>
      </c>
      <c r="AA74" s="348">
        <f t="shared" ca="1" si="5"/>
        <v>5</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Jeu</v>
      </c>
      <c r="U75" s="186" t="str">
        <f t="shared" ca="1" si="13"/>
        <v>mai</v>
      </c>
      <c r="X75" s="347">
        <f t="shared" ca="1" si="17"/>
        <v>46142</v>
      </c>
      <c r="Y75" s="452" t="str">
        <f t="shared" ca="1" si="14"/>
        <v>Jeu. mai , 2026</v>
      </c>
      <c r="Z75" s="143">
        <f t="shared" ca="1" si="4"/>
        <v>31</v>
      </c>
      <c r="AA75" s="348">
        <f t="shared" ca="1" si="5"/>
        <v>5</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Jeu</v>
      </c>
      <c r="U76" s="186" t="str">
        <f t="shared" ca="1" si="13"/>
        <v>mai</v>
      </c>
      <c r="X76" s="347">
        <f t="shared" ca="1" si="17"/>
        <v>46142</v>
      </c>
      <c r="Y76" s="452" t="str">
        <f t="shared" ca="1" si="14"/>
        <v>Jeu. mai , 2026</v>
      </c>
      <c r="Z76" s="143">
        <f t="shared" ca="1" si="4"/>
        <v>31</v>
      </c>
      <c r="AA76" s="348">
        <f t="shared" ca="1" si="5"/>
        <v>5</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Jeu</v>
      </c>
      <c r="U77" s="186" t="str">
        <f t="shared" ca="1" si="13"/>
        <v>mai</v>
      </c>
      <c r="X77" s="347">
        <f t="shared" ca="1" si="17"/>
        <v>46142</v>
      </c>
      <c r="Y77" s="452" t="str">
        <f t="shared" ca="1" si="14"/>
        <v>Jeu. mai , 2026</v>
      </c>
      <c r="Z77" s="143">
        <f t="shared" ca="1" si="4"/>
        <v>31</v>
      </c>
      <c r="AA77" s="348">
        <f t="shared" ca="1" si="5"/>
        <v>5</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Jeu</v>
      </c>
      <c r="U78" s="186" t="str">
        <f t="shared" ca="1" si="13"/>
        <v>mai</v>
      </c>
      <c r="X78" s="347">
        <f t="shared" ca="1" si="17"/>
        <v>46142</v>
      </c>
      <c r="Y78" s="452" t="str">
        <f t="shared" ca="1" si="14"/>
        <v>Jeu. mai , 2026</v>
      </c>
      <c r="Z78" s="143">
        <f t="shared" ca="1" si="4"/>
        <v>31</v>
      </c>
      <c r="AA78" s="348">
        <f t="shared" ca="1" si="5"/>
        <v>5</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Jeu</v>
      </c>
      <c r="U79" s="186" t="str">
        <f t="shared" ca="1" si="13"/>
        <v>mai</v>
      </c>
      <c r="X79" s="347">
        <f t="shared" ca="1" si="17"/>
        <v>46142</v>
      </c>
      <c r="Y79" s="452" t="str">
        <f t="shared" ca="1" si="14"/>
        <v>Jeu. mai , 2026</v>
      </c>
      <c r="Z79" s="143">
        <f t="shared" ca="1" si="4"/>
        <v>31</v>
      </c>
      <c r="AA79" s="348">
        <f t="shared" ca="1" si="5"/>
        <v>5</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Jeu</v>
      </c>
      <c r="U80" s="186" t="str">
        <f t="shared" ca="1" si="13"/>
        <v>mai</v>
      </c>
      <c r="X80" s="347">
        <f t="shared" ca="1" si="17"/>
        <v>46142</v>
      </c>
      <c r="Y80" s="452" t="str">
        <f t="shared" ca="1" si="14"/>
        <v>Jeu. mai , 2026</v>
      </c>
      <c r="Z80" s="143">
        <f t="shared" ca="1" si="4"/>
        <v>31</v>
      </c>
      <c r="AA80" s="348">
        <f t="shared" ca="1" si="5"/>
        <v>5</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Jeu</v>
      </c>
      <c r="U81" s="186" t="str">
        <f t="shared" ca="1" si="13"/>
        <v>mai</v>
      </c>
      <c r="X81" s="347">
        <f t="shared" ca="1" si="17"/>
        <v>46142</v>
      </c>
      <c r="Y81" s="452" t="str">
        <f t="shared" ca="1" si="14"/>
        <v>Jeu. mai , 2026</v>
      </c>
      <c r="Z81" s="143">
        <f t="shared" ca="1" si="4"/>
        <v>31</v>
      </c>
      <c r="AA81" s="348">
        <f t="shared" ca="1" si="5"/>
        <v>5</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Jeu</v>
      </c>
      <c r="U82" s="186" t="str">
        <f t="shared" ca="1" si="13"/>
        <v>mai</v>
      </c>
      <c r="X82" s="347">
        <f t="shared" ca="1" si="17"/>
        <v>46142</v>
      </c>
      <c r="Y82" s="452" t="str">
        <f t="shared" ca="1" si="14"/>
        <v>Jeu. mai , 2026</v>
      </c>
      <c r="Z82" s="143">
        <f t="shared" ca="1" si="4"/>
        <v>31</v>
      </c>
      <c r="AA82" s="348">
        <f t="shared" ca="1" si="5"/>
        <v>5</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Jeu</v>
      </c>
      <c r="U83" s="186" t="str">
        <f t="shared" ca="1" si="13"/>
        <v>mai</v>
      </c>
      <c r="X83" s="347">
        <f t="shared" ca="1" si="17"/>
        <v>46142</v>
      </c>
      <c r="Y83" s="452" t="str">
        <f t="shared" ca="1" si="14"/>
        <v>Jeu. mai , 2026</v>
      </c>
      <c r="Z83" s="143">
        <f t="shared" ca="1" si="4"/>
        <v>31</v>
      </c>
      <c r="AA83" s="348">
        <f t="shared" ca="1" si="5"/>
        <v>5</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Jeu</v>
      </c>
      <c r="U84" s="186" t="str">
        <f t="shared" ca="1" si="13"/>
        <v>mai</v>
      </c>
      <c r="X84" s="347">
        <f t="shared" ca="1" si="17"/>
        <v>46142</v>
      </c>
      <c r="Y84" s="452" t="str">
        <f t="shared" ca="1" si="14"/>
        <v>Jeu. mai , 2026</v>
      </c>
      <c r="Z84" s="143">
        <f t="shared" ref="Z84:Z147" ca="1" si="24">MIN(R84,$AF$5)</f>
        <v>31</v>
      </c>
      <c r="AA84" s="348">
        <f t="shared" ref="AA84:AA147" ca="1" si="25">$AD$6</f>
        <v>5</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Jeu</v>
      </c>
      <c r="U85" s="186" t="str">
        <f t="shared" ref="U85:U148" ca="1" si="32">$U$19</f>
        <v>mai</v>
      </c>
      <c r="X85" s="347">
        <f t="shared" ca="1" si="17"/>
        <v>46142</v>
      </c>
      <c r="Y85" s="452" t="str">
        <f t="shared" ref="Y85:Y148" ca="1" si="33">IF(Y79="f",T85&amp;". "&amp;" "&amp;R85&amp;" "&amp;U85&amp;" "&amp;$AE$7,T85&amp;". "&amp;U85&amp;" "&amp;R85&amp;", "&amp;$AE$7)</f>
        <v>Jeu. mai , 2026</v>
      </c>
      <c r="Z85" s="143">
        <f t="shared" ca="1" si="24"/>
        <v>31</v>
      </c>
      <c r="AA85" s="348">
        <f t="shared" ca="1" si="25"/>
        <v>5</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Jeu</v>
      </c>
      <c r="U86" s="186" t="str">
        <f t="shared" ca="1" si="32"/>
        <v>mai</v>
      </c>
      <c r="X86" s="347">
        <f t="shared" ref="X86:X149" ca="1" si="36">$AE$8+D86</f>
        <v>46142</v>
      </c>
      <c r="Y86" s="452" t="str">
        <f t="shared" ca="1" si="33"/>
        <v>Jeu. mai , 2026</v>
      </c>
      <c r="Z86" s="143">
        <f t="shared" ca="1" si="24"/>
        <v>31</v>
      </c>
      <c r="AA86" s="348">
        <f t="shared" ca="1" si="25"/>
        <v>5</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Jeu</v>
      </c>
      <c r="U87" s="186" t="str">
        <f t="shared" ca="1" si="32"/>
        <v>mai</v>
      </c>
      <c r="X87" s="347">
        <f t="shared" ca="1" si="36"/>
        <v>46142</v>
      </c>
      <c r="Y87" s="452" t="str">
        <f t="shared" ca="1" si="33"/>
        <v>Jeu. mai , 2026</v>
      </c>
      <c r="Z87" s="143">
        <f t="shared" ca="1" si="24"/>
        <v>31</v>
      </c>
      <c r="AA87" s="348">
        <f t="shared" ca="1" si="25"/>
        <v>5</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Jeu</v>
      </c>
      <c r="U88" s="186" t="str">
        <f t="shared" ca="1" si="32"/>
        <v>mai</v>
      </c>
      <c r="X88" s="347">
        <f t="shared" ca="1" si="36"/>
        <v>46142</v>
      </c>
      <c r="Y88" s="452" t="str">
        <f t="shared" ca="1" si="33"/>
        <v>Jeu. mai , 2026</v>
      </c>
      <c r="Z88" s="143">
        <f t="shared" ca="1" si="24"/>
        <v>31</v>
      </c>
      <c r="AA88" s="348">
        <f t="shared" ca="1" si="25"/>
        <v>5</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Jeu</v>
      </c>
      <c r="U89" s="186" t="str">
        <f t="shared" ca="1" si="32"/>
        <v>mai</v>
      </c>
      <c r="X89" s="347">
        <f t="shared" ca="1" si="36"/>
        <v>46142</v>
      </c>
      <c r="Y89" s="452" t="str">
        <f t="shared" ca="1" si="33"/>
        <v>Jeu. mai , 2026</v>
      </c>
      <c r="Z89" s="143">
        <f t="shared" ca="1" si="24"/>
        <v>31</v>
      </c>
      <c r="AA89" s="348">
        <f t="shared" ca="1" si="25"/>
        <v>5</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Jeu</v>
      </c>
      <c r="U90" s="186" t="str">
        <f t="shared" ca="1" si="32"/>
        <v>mai</v>
      </c>
      <c r="X90" s="347">
        <f t="shared" ca="1" si="36"/>
        <v>46142</v>
      </c>
      <c r="Y90" s="452" t="str">
        <f t="shared" ca="1" si="33"/>
        <v>Jeu. mai , 2026</v>
      </c>
      <c r="Z90" s="143">
        <f t="shared" ca="1" si="24"/>
        <v>31</v>
      </c>
      <c r="AA90" s="348">
        <f t="shared" ca="1" si="25"/>
        <v>5</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Jeu</v>
      </c>
      <c r="U91" s="186" t="str">
        <f t="shared" ca="1" si="32"/>
        <v>mai</v>
      </c>
      <c r="X91" s="347">
        <f t="shared" ca="1" si="36"/>
        <v>46142</v>
      </c>
      <c r="Y91" s="452" t="str">
        <f t="shared" ca="1" si="33"/>
        <v>Jeu. mai , 2026</v>
      </c>
      <c r="Z91" s="143">
        <f t="shared" ca="1" si="24"/>
        <v>31</v>
      </c>
      <c r="AA91" s="348">
        <f t="shared" ca="1" si="25"/>
        <v>5</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Jeu</v>
      </c>
      <c r="U92" s="186" t="str">
        <f t="shared" ca="1" si="32"/>
        <v>mai</v>
      </c>
      <c r="X92" s="347">
        <f t="shared" ca="1" si="36"/>
        <v>46142</v>
      </c>
      <c r="Y92" s="452" t="str">
        <f t="shared" ca="1" si="33"/>
        <v>Jeu. mai , 2026</v>
      </c>
      <c r="Z92" s="143">
        <f t="shared" ca="1" si="24"/>
        <v>31</v>
      </c>
      <c r="AA92" s="348">
        <f t="shared" ca="1" si="25"/>
        <v>5</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Jeu</v>
      </c>
      <c r="U93" s="186" t="str">
        <f t="shared" ca="1" si="32"/>
        <v>mai</v>
      </c>
      <c r="X93" s="347">
        <f t="shared" ca="1" si="36"/>
        <v>46142</v>
      </c>
      <c r="Y93" s="452" t="str">
        <f t="shared" ca="1" si="33"/>
        <v>Jeu. mai , 2026</v>
      </c>
      <c r="Z93" s="143">
        <f t="shared" ca="1" si="24"/>
        <v>31</v>
      </c>
      <c r="AA93" s="348">
        <f t="shared" ca="1" si="25"/>
        <v>5</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Jeu</v>
      </c>
      <c r="U94" s="186" t="str">
        <f t="shared" ca="1" si="32"/>
        <v>mai</v>
      </c>
      <c r="X94" s="347">
        <f t="shared" ca="1" si="36"/>
        <v>46142</v>
      </c>
      <c r="Y94" s="452" t="str">
        <f t="shared" ca="1" si="33"/>
        <v>Jeu. mai , 2026</v>
      </c>
      <c r="Z94" s="143">
        <f t="shared" ca="1" si="24"/>
        <v>31</v>
      </c>
      <c r="AA94" s="348">
        <f t="shared" ca="1" si="25"/>
        <v>5</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Jeu</v>
      </c>
      <c r="U95" s="186" t="str">
        <f t="shared" ca="1" si="32"/>
        <v>mai</v>
      </c>
      <c r="X95" s="347">
        <f t="shared" ca="1" si="36"/>
        <v>46142</v>
      </c>
      <c r="Y95" s="452" t="str">
        <f t="shared" ca="1" si="33"/>
        <v>Jeu. mai , 2026</v>
      </c>
      <c r="Z95" s="143">
        <f t="shared" ca="1" si="24"/>
        <v>31</v>
      </c>
      <c r="AA95" s="348">
        <f t="shared" ca="1" si="25"/>
        <v>5</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Jeu</v>
      </c>
      <c r="U96" s="186" t="str">
        <f t="shared" ca="1" si="32"/>
        <v>mai</v>
      </c>
      <c r="X96" s="347">
        <f t="shared" ca="1" si="36"/>
        <v>46142</v>
      </c>
      <c r="Y96" s="452" t="str">
        <f t="shared" ca="1" si="33"/>
        <v>Jeu. mai , 2026</v>
      </c>
      <c r="Z96" s="143">
        <f t="shared" ca="1" si="24"/>
        <v>31</v>
      </c>
      <c r="AA96" s="348">
        <f t="shared" ca="1" si="25"/>
        <v>5</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Jeu</v>
      </c>
      <c r="U97" s="186" t="str">
        <f t="shared" ca="1" si="32"/>
        <v>mai</v>
      </c>
      <c r="X97" s="347">
        <f t="shared" ca="1" si="36"/>
        <v>46142</v>
      </c>
      <c r="Y97" s="452" t="str">
        <f t="shared" ca="1" si="33"/>
        <v>Jeu. mai , 2026</v>
      </c>
      <c r="Z97" s="143">
        <f t="shared" ca="1" si="24"/>
        <v>31</v>
      </c>
      <c r="AA97" s="348">
        <f t="shared" ca="1" si="25"/>
        <v>5</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Jeu</v>
      </c>
      <c r="U98" s="186" t="str">
        <f t="shared" ca="1" si="32"/>
        <v>mai</v>
      </c>
      <c r="X98" s="347">
        <f t="shared" ca="1" si="36"/>
        <v>46142</v>
      </c>
      <c r="Y98" s="452" t="str">
        <f t="shared" ca="1" si="33"/>
        <v>Jeu. mai , 2026</v>
      </c>
      <c r="Z98" s="143">
        <f t="shared" ca="1" si="24"/>
        <v>31</v>
      </c>
      <c r="AA98" s="348">
        <f t="shared" ca="1" si="25"/>
        <v>5</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Jeu</v>
      </c>
      <c r="U99" s="186" t="str">
        <f t="shared" ca="1" si="32"/>
        <v>mai</v>
      </c>
      <c r="X99" s="347">
        <f t="shared" ca="1" si="36"/>
        <v>46142</v>
      </c>
      <c r="Y99" s="452" t="str">
        <f t="shared" ca="1" si="33"/>
        <v>Jeu. mai , 2026</v>
      </c>
      <c r="Z99" s="143">
        <f t="shared" ca="1" si="24"/>
        <v>31</v>
      </c>
      <c r="AA99" s="348">
        <f t="shared" ca="1" si="25"/>
        <v>5</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Jeu</v>
      </c>
      <c r="U100" s="186" t="str">
        <f t="shared" ca="1" si="32"/>
        <v>mai</v>
      </c>
      <c r="X100" s="347">
        <f t="shared" ca="1" si="36"/>
        <v>46142</v>
      </c>
      <c r="Y100" s="452" t="str">
        <f t="shared" ca="1" si="33"/>
        <v>Jeu. mai , 2026</v>
      </c>
      <c r="Z100" s="143">
        <f t="shared" ca="1" si="24"/>
        <v>31</v>
      </c>
      <c r="AA100" s="348">
        <f t="shared" ca="1" si="25"/>
        <v>5</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Jeu</v>
      </c>
      <c r="U101" s="186" t="str">
        <f t="shared" ca="1" si="32"/>
        <v>mai</v>
      </c>
      <c r="X101" s="347">
        <f t="shared" ca="1" si="36"/>
        <v>46142</v>
      </c>
      <c r="Y101" s="452" t="str">
        <f t="shared" ca="1" si="33"/>
        <v>Jeu. mai , 2026</v>
      </c>
      <c r="Z101" s="143">
        <f t="shared" ca="1" si="24"/>
        <v>31</v>
      </c>
      <c r="AA101" s="348">
        <f t="shared" ca="1" si="25"/>
        <v>5</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Jeu</v>
      </c>
      <c r="U102" s="186" t="str">
        <f t="shared" ca="1" si="32"/>
        <v>mai</v>
      </c>
      <c r="X102" s="347">
        <f t="shared" ca="1" si="36"/>
        <v>46142</v>
      </c>
      <c r="Y102" s="452" t="str">
        <f t="shared" ca="1" si="33"/>
        <v>Jeu. mai , 2026</v>
      </c>
      <c r="Z102" s="143">
        <f t="shared" ca="1" si="24"/>
        <v>31</v>
      </c>
      <c r="AA102" s="348">
        <f t="shared" ca="1" si="25"/>
        <v>5</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Jeu</v>
      </c>
      <c r="U103" s="186" t="str">
        <f t="shared" ca="1" si="32"/>
        <v>mai</v>
      </c>
      <c r="X103" s="347">
        <f t="shared" ca="1" si="36"/>
        <v>46142</v>
      </c>
      <c r="Y103" s="452" t="str">
        <f t="shared" ca="1" si="33"/>
        <v>Jeu. mai , 2026</v>
      </c>
      <c r="Z103" s="143">
        <f t="shared" ca="1" si="24"/>
        <v>31</v>
      </c>
      <c r="AA103" s="348">
        <f t="shared" ca="1" si="25"/>
        <v>5</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Jeu</v>
      </c>
      <c r="U104" s="186" t="str">
        <f t="shared" ca="1" si="32"/>
        <v>mai</v>
      </c>
      <c r="X104" s="347">
        <f t="shared" ca="1" si="36"/>
        <v>46142</v>
      </c>
      <c r="Y104" s="452" t="str">
        <f t="shared" ca="1" si="33"/>
        <v>Jeu. mai , 2026</v>
      </c>
      <c r="Z104" s="143">
        <f t="shared" ca="1" si="24"/>
        <v>31</v>
      </c>
      <c r="AA104" s="348">
        <f t="shared" ca="1" si="25"/>
        <v>5</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Jeu</v>
      </c>
      <c r="U105" s="186" t="str">
        <f t="shared" ca="1" si="32"/>
        <v>mai</v>
      </c>
      <c r="X105" s="347">
        <f t="shared" ca="1" si="36"/>
        <v>46142</v>
      </c>
      <c r="Y105" s="452" t="str">
        <f t="shared" ca="1" si="33"/>
        <v>Jeu. mai , 2026</v>
      </c>
      <c r="Z105" s="143">
        <f t="shared" ca="1" si="24"/>
        <v>31</v>
      </c>
      <c r="AA105" s="348">
        <f t="shared" ca="1" si="25"/>
        <v>5</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Jeu</v>
      </c>
      <c r="U106" s="186" t="str">
        <f t="shared" ca="1" si="32"/>
        <v>mai</v>
      </c>
      <c r="X106" s="347">
        <f t="shared" ca="1" si="36"/>
        <v>46142</v>
      </c>
      <c r="Y106" s="452" t="str">
        <f t="shared" ca="1" si="33"/>
        <v>Jeu. mai , 2026</v>
      </c>
      <c r="Z106" s="143">
        <f t="shared" ca="1" si="24"/>
        <v>31</v>
      </c>
      <c r="AA106" s="348">
        <f t="shared" ca="1" si="25"/>
        <v>5</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Jeu</v>
      </c>
      <c r="U107" s="186" t="str">
        <f t="shared" ca="1" si="32"/>
        <v>mai</v>
      </c>
      <c r="X107" s="347">
        <f t="shared" ca="1" si="36"/>
        <v>46142</v>
      </c>
      <c r="Y107" s="452" t="str">
        <f t="shared" ca="1" si="33"/>
        <v>Jeu. mai , 2026</v>
      </c>
      <c r="Z107" s="143">
        <f t="shared" ca="1" si="24"/>
        <v>31</v>
      </c>
      <c r="AA107" s="348">
        <f t="shared" ca="1" si="25"/>
        <v>5</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Jeu</v>
      </c>
      <c r="U108" s="186" t="str">
        <f t="shared" ca="1" si="32"/>
        <v>mai</v>
      </c>
      <c r="X108" s="347">
        <f t="shared" ca="1" si="36"/>
        <v>46142</v>
      </c>
      <c r="Y108" s="452" t="str">
        <f t="shared" ca="1" si="33"/>
        <v>Jeu. mai , 2026</v>
      </c>
      <c r="Z108" s="143">
        <f t="shared" ca="1" si="24"/>
        <v>31</v>
      </c>
      <c r="AA108" s="348">
        <f t="shared" ca="1" si="25"/>
        <v>5</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Jeu</v>
      </c>
      <c r="U109" s="186" t="str">
        <f t="shared" ca="1" si="32"/>
        <v>mai</v>
      </c>
      <c r="X109" s="347">
        <f t="shared" ca="1" si="36"/>
        <v>46142</v>
      </c>
      <c r="Y109" s="452" t="str">
        <f t="shared" ca="1" si="33"/>
        <v>Jeu. mai , 2026</v>
      </c>
      <c r="Z109" s="143">
        <f t="shared" ca="1" si="24"/>
        <v>31</v>
      </c>
      <c r="AA109" s="348">
        <f t="shared" ca="1" si="25"/>
        <v>5</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Jeu</v>
      </c>
      <c r="U110" s="186" t="str">
        <f t="shared" ca="1" si="32"/>
        <v>mai</v>
      </c>
      <c r="X110" s="347">
        <f t="shared" ca="1" si="36"/>
        <v>46142</v>
      </c>
      <c r="Y110" s="452" t="str">
        <f t="shared" ca="1" si="33"/>
        <v>Jeu. mai , 2026</v>
      </c>
      <c r="Z110" s="143">
        <f t="shared" ca="1" si="24"/>
        <v>31</v>
      </c>
      <c r="AA110" s="348">
        <f t="shared" ca="1" si="25"/>
        <v>5</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Jeu</v>
      </c>
      <c r="U111" s="186" t="str">
        <f t="shared" ca="1" si="32"/>
        <v>mai</v>
      </c>
      <c r="X111" s="347">
        <f t="shared" ca="1" si="36"/>
        <v>46142</v>
      </c>
      <c r="Y111" s="452" t="str">
        <f t="shared" ca="1" si="33"/>
        <v>Jeu. mai , 2026</v>
      </c>
      <c r="Z111" s="143">
        <f t="shared" ca="1" si="24"/>
        <v>31</v>
      </c>
      <c r="AA111" s="348">
        <f t="shared" ca="1" si="25"/>
        <v>5</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Jeu</v>
      </c>
      <c r="U112" s="186" t="str">
        <f t="shared" ca="1" si="32"/>
        <v>mai</v>
      </c>
      <c r="X112" s="347">
        <f t="shared" ca="1" si="36"/>
        <v>46142</v>
      </c>
      <c r="Y112" s="452" t="str">
        <f t="shared" ca="1" si="33"/>
        <v>Jeu. mai , 2026</v>
      </c>
      <c r="Z112" s="143">
        <f t="shared" ca="1" si="24"/>
        <v>31</v>
      </c>
      <c r="AA112" s="348">
        <f t="shared" ca="1" si="25"/>
        <v>5</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Jeu</v>
      </c>
      <c r="U113" s="186" t="str">
        <f t="shared" ca="1" si="32"/>
        <v>mai</v>
      </c>
      <c r="X113" s="347">
        <f t="shared" ca="1" si="36"/>
        <v>46142</v>
      </c>
      <c r="Y113" s="452" t="str">
        <f t="shared" ca="1" si="33"/>
        <v>Jeu. mai , 2026</v>
      </c>
      <c r="Z113" s="143">
        <f t="shared" ca="1" si="24"/>
        <v>31</v>
      </c>
      <c r="AA113" s="348">
        <f t="shared" ca="1" si="25"/>
        <v>5</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Jeu</v>
      </c>
      <c r="U114" s="186" t="str">
        <f t="shared" ca="1" si="32"/>
        <v>mai</v>
      </c>
      <c r="X114" s="347">
        <f t="shared" ca="1" si="36"/>
        <v>46142</v>
      </c>
      <c r="Y114" s="452" t="str">
        <f t="shared" ca="1" si="33"/>
        <v>Jeu. mai , 2026</v>
      </c>
      <c r="Z114" s="143">
        <f t="shared" ca="1" si="24"/>
        <v>31</v>
      </c>
      <c r="AA114" s="348">
        <f t="shared" ca="1" si="25"/>
        <v>5</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Jeu</v>
      </c>
      <c r="U115" s="186" t="str">
        <f t="shared" ca="1" si="32"/>
        <v>mai</v>
      </c>
      <c r="X115" s="347">
        <f t="shared" ca="1" si="36"/>
        <v>46142</v>
      </c>
      <c r="Y115" s="452" t="str">
        <f t="shared" ca="1" si="33"/>
        <v>Jeu. mai , 2026</v>
      </c>
      <c r="Z115" s="143">
        <f t="shared" ca="1" si="24"/>
        <v>31</v>
      </c>
      <c r="AA115" s="348">
        <f t="shared" ca="1" si="25"/>
        <v>5</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Jeu</v>
      </c>
      <c r="U116" s="186" t="str">
        <f t="shared" ca="1" si="32"/>
        <v>mai</v>
      </c>
      <c r="X116" s="347">
        <f t="shared" ca="1" si="36"/>
        <v>46142</v>
      </c>
      <c r="Y116" s="452" t="str">
        <f t="shared" ca="1" si="33"/>
        <v>Jeu. mai , 2026</v>
      </c>
      <c r="Z116" s="143">
        <f t="shared" ca="1" si="24"/>
        <v>31</v>
      </c>
      <c r="AA116" s="348">
        <f t="shared" ca="1" si="25"/>
        <v>5</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Jeu</v>
      </c>
      <c r="U117" s="186" t="str">
        <f t="shared" ca="1" si="32"/>
        <v>mai</v>
      </c>
      <c r="X117" s="347">
        <f t="shared" ca="1" si="36"/>
        <v>46142</v>
      </c>
      <c r="Y117" s="452" t="str">
        <f t="shared" ca="1" si="33"/>
        <v>Jeu. mai , 2026</v>
      </c>
      <c r="Z117" s="143">
        <f t="shared" ca="1" si="24"/>
        <v>31</v>
      </c>
      <c r="AA117" s="348">
        <f t="shared" ca="1" si="25"/>
        <v>5</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Jeu</v>
      </c>
      <c r="U118" s="186" t="str">
        <f t="shared" ca="1" si="32"/>
        <v>mai</v>
      </c>
      <c r="X118" s="347">
        <f t="shared" ca="1" si="36"/>
        <v>46142</v>
      </c>
      <c r="Y118" s="452" t="str">
        <f t="shared" ca="1" si="33"/>
        <v>Jeu. mai , 2026</v>
      </c>
      <c r="Z118" s="143">
        <f t="shared" ca="1" si="24"/>
        <v>31</v>
      </c>
      <c r="AA118" s="348">
        <f t="shared" ca="1" si="25"/>
        <v>5</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Jeu</v>
      </c>
      <c r="U119" s="186" t="str">
        <f t="shared" ca="1" si="32"/>
        <v>mai</v>
      </c>
      <c r="X119" s="347">
        <f t="shared" ca="1" si="36"/>
        <v>46142</v>
      </c>
      <c r="Y119" s="452" t="str">
        <f t="shared" ca="1" si="33"/>
        <v>Jeu. mai , 2026</v>
      </c>
      <c r="Z119" s="143">
        <f t="shared" ca="1" si="24"/>
        <v>31</v>
      </c>
      <c r="AA119" s="348">
        <f t="shared" ca="1" si="25"/>
        <v>5</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Jeu</v>
      </c>
      <c r="U120" s="186" t="str">
        <f t="shared" ca="1" si="32"/>
        <v>mai</v>
      </c>
      <c r="X120" s="347">
        <f t="shared" ca="1" si="36"/>
        <v>46142</v>
      </c>
      <c r="Y120" s="452" t="str">
        <f t="shared" ca="1" si="33"/>
        <v>Jeu. mai , 2026</v>
      </c>
      <c r="Z120" s="143">
        <f t="shared" ca="1" si="24"/>
        <v>31</v>
      </c>
      <c r="AA120" s="348">
        <f t="shared" ca="1" si="25"/>
        <v>5</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Jeu</v>
      </c>
      <c r="U121" s="186" t="str">
        <f t="shared" ca="1" si="32"/>
        <v>mai</v>
      </c>
      <c r="X121" s="347">
        <f t="shared" ca="1" si="36"/>
        <v>46142</v>
      </c>
      <c r="Y121" s="452" t="str">
        <f t="shared" ca="1" si="33"/>
        <v>Jeu. mai , 2026</v>
      </c>
      <c r="Z121" s="143">
        <f t="shared" ca="1" si="24"/>
        <v>31</v>
      </c>
      <c r="AA121" s="348">
        <f t="shared" ca="1" si="25"/>
        <v>5</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Jeu</v>
      </c>
      <c r="U122" s="186" t="str">
        <f t="shared" ca="1" si="32"/>
        <v>mai</v>
      </c>
      <c r="X122" s="347">
        <f t="shared" ca="1" si="36"/>
        <v>46142</v>
      </c>
      <c r="Y122" s="452" t="str">
        <f t="shared" ca="1" si="33"/>
        <v>Jeu. mai , 2026</v>
      </c>
      <c r="Z122" s="143">
        <f t="shared" ca="1" si="24"/>
        <v>31</v>
      </c>
      <c r="AA122" s="348">
        <f t="shared" ca="1" si="25"/>
        <v>5</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Jeu</v>
      </c>
      <c r="U123" s="186" t="str">
        <f t="shared" ca="1" si="32"/>
        <v>mai</v>
      </c>
      <c r="X123" s="347">
        <f t="shared" ca="1" si="36"/>
        <v>46142</v>
      </c>
      <c r="Y123" s="452" t="str">
        <f t="shared" ca="1" si="33"/>
        <v>Jeu. mai , 2026</v>
      </c>
      <c r="Z123" s="143">
        <f t="shared" ca="1" si="24"/>
        <v>31</v>
      </c>
      <c r="AA123" s="348">
        <f t="shared" ca="1" si="25"/>
        <v>5</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Jeu</v>
      </c>
      <c r="U124" s="186" t="str">
        <f t="shared" ca="1" si="32"/>
        <v>mai</v>
      </c>
      <c r="X124" s="347">
        <f t="shared" ca="1" si="36"/>
        <v>46142</v>
      </c>
      <c r="Y124" s="452" t="str">
        <f t="shared" ca="1" si="33"/>
        <v>Jeu. mai , 2026</v>
      </c>
      <c r="Z124" s="143">
        <f t="shared" ca="1" si="24"/>
        <v>31</v>
      </c>
      <c r="AA124" s="348">
        <f t="shared" ca="1" si="25"/>
        <v>5</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Jeu</v>
      </c>
      <c r="U125" s="186" t="str">
        <f t="shared" ca="1" si="32"/>
        <v>mai</v>
      </c>
      <c r="X125" s="347">
        <f t="shared" ca="1" si="36"/>
        <v>46142</v>
      </c>
      <c r="Y125" s="452" t="str">
        <f t="shared" ca="1" si="33"/>
        <v>Jeu. mai , 2026</v>
      </c>
      <c r="Z125" s="143">
        <f t="shared" ca="1" si="24"/>
        <v>31</v>
      </c>
      <c r="AA125" s="348">
        <f t="shared" ca="1" si="25"/>
        <v>5</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Jeu</v>
      </c>
      <c r="U126" s="186" t="str">
        <f t="shared" ca="1" si="32"/>
        <v>mai</v>
      </c>
      <c r="X126" s="347">
        <f t="shared" ca="1" si="36"/>
        <v>46142</v>
      </c>
      <c r="Y126" s="452" t="str">
        <f t="shared" ca="1" si="33"/>
        <v>Jeu. mai , 2026</v>
      </c>
      <c r="Z126" s="143">
        <f t="shared" ca="1" si="24"/>
        <v>31</v>
      </c>
      <c r="AA126" s="348">
        <f t="shared" ca="1" si="25"/>
        <v>5</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Jeu</v>
      </c>
      <c r="U127" s="186" t="str">
        <f t="shared" ca="1" si="32"/>
        <v>mai</v>
      </c>
      <c r="X127" s="347">
        <f t="shared" ca="1" si="36"/>
        <v>46142</v>
      </c>
      <c r="Y127" s="452" t="str">
        <f t="shared" ca="1" si="33"/>
        <v>Jeu. mai , 2026</v>
      </c>
      <c r="Z127" s="143">
        <f t="shared" ca="1" si="24"/>
        <v>31</v>
      </c>
      <c r="AA127" s="348">
        <f t="shared" ca="1" si="25"/>
        <v>5</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Jeu</v>
      </c>
      <c r="U128" s="186" t="str">
        <f t="shared" ca="1" si="32"/>
        <v>mai</v>
      </c>
      <c r="X128" s="347">
        <f t="shared" ca="1" si="36"/>
        <v>46142</v>
      </c>
      <c r="Y128" s="452" t="str">
        <f t="shared" ca="1" si="33"/>
        <v>Jeu. mai , 2026</v>
      </c>
      <c r="Z128" s="143">
        <f t="shared" ca="1" si="24"/>
        <v>31</v>
      </c>
      <c r="AA128" s="348">
        <f t="shared" ca="1" si="25"/>
        <v>5</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Jeu</v>
      </c>
      <c r="U129" s="186" t="str">
        <f t="shared" ca="1" si="32"/>
        <v>mai</v>
      </c>
      <c r="X129" s="347">
        <f t="shared" ca="1" si="36"/>
        <v>46142</v>
      </c>
      <c r="Y129" s="452" t="str">
        <f t="shared" ca="1" si="33"/>
        <v>Jeu. mai , 2026</v>
      </c>
      <c r="Z129" s="143">
        <f t="shared" ca="1" si="24"/>
        <v>31</v>
      </c>
      <c r="AA129" s="348">
        <f t="shared" ca="1" si="25"/>
        <v>5</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Jeu</v>
      </c>
      <c r="U130" s="186" t="str">
        <f t="shared" ca="1" si="32"/>
        <v>mai</v>
      </c>
      <c r="X130" s="347">
        <f t="shared" ca="1" si="36"/>
        <v>46142</v>
      </c>
      <c r="Y130" s="452" t="str">
        <f t="shared" ca="1" si="33"/>
        <v>Jeu. mai , 2026</v>
      </c>
      <c r="Z130" s="143">
        <f t="shared" ca="1" si="24"/>
        <v>31</v>
      </c>
      <c r="AA130" s="348">
        <f t="shared" ca="1" si="25"/>
        <v>5</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Jeu</v>
      </c>
      <c r="U131" s="186" t="str">
        <f t="shared" ca="1" si="32"/>
        <v>mai</v>
      </c>
      <c r="X131" s="347">
        <f t="shared" ca="1" si="36"/>
        <v>46142</v>
      </c>
      <c r="Y131" s="452" t="str">
        <f t="shared" ca="1" si="33"/>
        <v>Jeu. mai , 2026</v>
      </c>
      <c r="Z131" s="143">
        <f t="shared" ca="1" si="24"/>
        <v>31</v>
      </c>
      <c r="AA131" s="348">
        <f t="shared" ca="1" si="25"/>
        <v>5</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Jeu</v>
      </c>
      <c r="U132" s="186" t="str">
        <f t="shared" ca="1" si="32"/>
        <v>mai</v>
      </c>
      <c r="X132" s="347">
        <f t="shared" ca="1" si="36"/>
        <v>46142</v>
      </c>
      <c r="Y132" s="452" t="str">
        <f t="shared" ca="1" si="33"/>
        <v>Jeu. mai , 2026</v>
      </c>
      <c r="Z132" s="143">
        <f t="shared" ca="1" si="24"/>
        <v>31</v>
      </c>
      <c r="AA132" s="348">
        <f t="shared" ca="1" si="25"/>
        <v>5</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Jeu</v>
      </c>
      <c r="U133" s="186" t="str">
        <f t="shared" ca="1" si="32"/>
        <v>mai</v>
      </c>
      <c r="X133" s="347">
        <f t="shared" ca="1" si="36"/>
        <v>46142</v>
      </c>
      <c r="Y133" s="452" t="str">
        <f t="shared" ca="1" si="33"/>
        <v>Jeu. mai , 2026</v>
      </c>
      <c r="Z133" s="143">
        <f t="shared" ca="1" si="24"/>
        <v>31</v>
      </c>
      <c r="AA133" s="348">
        <f t="shared" ca="1" si="25"/>
        <v>5</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Jeu</v>
      </c>
      <c r="U134" s="186" t="str">
        <f t="shared" ca="1" si="32"/>
        <v>mai</v>
      </c>
      <c r="X134" s="347">
        <f t="shared" ca="1" si="36"/>
        <v>46142</v>
      </c>
      <c r="Y134" s="452" t="str">
        <f t="shared" ca="1" si="33"/>
        <v>Jeu. mai , 2026</v>
      </c>
      <c r="Z134" s="143">
        <f t="shared" ca="1" si="24"/>
        <v>31</v>
      </c>
      <c r="AA134" s="348">
        <f t="shared" ca="1" si="25"/>
        <v>5</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Jeu</v>
      </c>
      <c r="U135" s="186" t="str">
        <f t="shared" ca="1" si="32"/>
        <v>mai</v>
      </c>
      <c r="X135" s="347">
        <f t="shared" ca="1" si="36"/>
        <v>46142</v>
      </c>
      <c r="Y135" s="452" t="str">
        <f t="shared" ca="1" si="33"/>
        <v>Jeu. mai , 2026</v>
      </c>
      <c r="Z135" s="143">
        <f t="shared" ca="1" si="24"/>
        <v>31</v>
      </c>
      <c r="AA135" s="348">
        <f t="shared" ca="1" si="25"/>
        <v>5</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Jeu</v>
      </c>
      <c r="U136" s="186" t="str">
        <f t="shared" ca="1" si="32"/>
        <v>mai</v>
      </c>
      <c r="X136" s="347">
        <f t="shared" ca="1" si="36"/>
        <v>46142</v>
      </c>
      <c r="Y136" s="452" t="str">
        <f t="shared" ca="1" si="33"/>
        <v>Jeu. mai , 2026</v>
      </c>
      <c r="Z136" s="143">
        <f t="shared" ca="1" si="24"/>
        <v>31</v>
      </c>
      <c r="AA136" s="348">
        <f t="shared" ca="1" si="25"/>
        <v>5</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Jeu</v>
      </c>
      <c r="U137" s="186" t="str">
        <f t="shared" ca="1" si="32"/>
        <v>mai</v>
      </c>
      <c r="X137" s="347">
        <f t="shared" ca="1" si="36"/>
        <v>46142</v>
      </c>
      <c r="Y137" s="452" t="str">
        <f t="shared" ca="1" si="33"/>
        <v>Jeu. mai , 2026</v>
      </c>
      <c r="Z137" s="143">
        <f t="shared" ca="1" si="24"/>
        <v>31</v>
      </c>
      <c r="AA137" s="348">
        <f t="shared" ca="1" si="25"/>
        <v>5</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Jeu</v>
      </c>
      <c r="U138" s="186" t="str">
        <f t="shared" ca="1" si="32"/>
        <v>mai</v>
      </c>
      <c r="X138" s="347">
        <f t="shared" ca="1" si="36"/>
        <v>46142</v>
      </c>
      <c r="Y138" s="452" t="str">
        <f t="shared" ca="1" si="33"/>
        <v>Jeu. mai , 2026</v>
      </c>
      <c r="Z138" s="143">
        <f t="shared" ca="1" si="24"/>
        <v>31</v>
      </c>
      <c r="AA138" s="348">
        <f t="shared" ca="1" si="25"/>
        <v>5</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Jeu</v>
      </c>
      <c r="U139" s="186" t="str">
        <f t="shared" ca="1" si="32"/>
        <v>mai</v>
      </c>
      <c r="X139" s="347">
        <f t="shared" ca="1" si="36"/>
        <v>46142</v>
      </c>
      <c r="Y139" s="452" t="str">
        <f t="shared" ca="1" si="33"/>
        <v>Jeu. mai , 2026</v>
      </c>
      <c r="Z139" s="143">
        <f t="shared" ca="1" si="24"/>
        <v>31</v>
      </c>
      <c r="AA139" s="348">
        <f t="shared" ca="1" si="25"/>
        <v>5</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Jeu</v>
      </c>
      <c r="U140" s="186" t="str">
        <f t="shared" ca="1" si="32"/>
        <v>mai</v>
      </c>
      <c r="X140" s="347">
        <f t="shared" ca="1" si="36"/>
        <v>46142</v>
      </c>
      <c r="Y140" s="452" t="str">
        <f t="shared" ca="1" si="33"/>
        <v>Jeu. mai , 2026</v>
      </c>
      <c r="Z140" s="143">
        <f t="shared" ca="1" si="24"/>
        <v>31</v>
      </c>
      <c r="AA140" s="348">
        <f t="shared" ca="1" si="25"/>
        <v>5</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Jeu</v>
      </c>
      <c r="U141" s="186" t="str">
        <f t="shared" ca="1" si="32"/>
        <v>mai</v>
      </c>
      <c r="X141" s="347">
        <f t="shared" ca="1" si="36"/>
        <v>46142</v>
      </c>
      <c r="Y141" s="452" t="str">
        <f t="shared" ca="1" si="33"/>
        <v>Jeu. mai , 2026</v>
      </c>
      <c r="Z141" s="143">
        <f t="shared" ca="1" si="24"/>
        <v>31</v>
      </c>
      <c r="AA141" s="348">
        <f t="shared" ca="1" si="25"/>
        <v>5</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Jeu</v>
      </c>
      <c r="U142" s="186" t="str">
        <f t="shared" ca="1" si="32"/>
        <v>mai</v>
      </c>
      <c r="X142" s="347">
        <f t="shared" ca="1" si="36"/>
        <v>46142</v>
      </c>
      <c r="Y142" s="452" t="str">
        <f t="shared" ca="1" si="33"/>
        <v>Jeu. mai , 2026</v>
      </c>
      <c r="Z142" s="143">
        <f t="shared" ca="1" si="24"/>
        <v>31</v>
      </c>
      <c r="AA142" s="348">
        <f t="shared" ca="1" si="25"/>
        <v>5</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Jeu</v>
      </c>
      <c r="U143" s="186" t="str">
        <f t="shared" ca="1" si="32"/>
        <v>mai</v>
      </c>
      <c r="X143" s="347">
        <f t="shared" ca="1" si="36"/>
        <v>46142</v>
      </c>
      <c r="Y143" s="452" t="str">
        <f t="shared" ca="1" si="33"/>
        <v>Jeu. mai , 2026</v>
      </c>
      <c r="Z143" s="143">
        <f t="shared" ca="1" si="24"/>
        <v>31</v>
      </c>
      <c r="AA143" s="348">
        <f t="shared" ca="1" si="25"/>
        <v>5</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Jeu</v>
      </c>
      <c r="U144" s="186" t="str">
        <f t="shared" ca="1" si="32"/>
        <v>mai</v>
      </c>
      <c r="X144" s="347">
        <f t="shared" ca="1" si="36"/>
        <v>46142</v>
      </c>
      <c r="Y144" s="452" t="str">
        <f t="shared" ca="1" si="33"/>
        <v>Jeu. mai , 2026</v>
      </c>
      <c r="Z144" s="143">
        <f t="shared" ca="1" si="24"/>
        <v>31</v>
      </c>
      <c r="AA144" s="348">
        <f t="shared" ca="1" si="25"/>
        <v>5</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Jeu</v>
      </c>
      <c r="U145" s="186" t="str">
        <f t="shared" ca="1" si="32"/>
        <v>mai</v>
      </c>
      <c r="X145" s="347">
        <f t="shared" ca="1" si="36"/>
        <v>46142</v>
      </c>
      <c r="Y145" s="452" t="str">
        <f t="shared" ca="1" si="33"/>
        <v>Jeu. mai , 2026</v>
      </c>
      <c r="Z145" s="143">
        <f t="shared" ca="1" si="24"/>
        <v>31</v>
      </c>
      <c r="AA145" s="348">
        <f t="shared" ca="1" si="25"/>
        <v>5</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Jeu</v>
      </c>
      <c r="U146" s="186" t="str">
        <f t="shared" ca="1" si="32"/>
        <v>mai</v>
      </c>
      <c r="X146" s="347">
        <f t="shared" ca="1" si="36"/>
        <v>46142</v>
      </c>
      <c r="Y146" s="452" t="str">
        <f t="shared" ca="1" si="33"/>
        <v>Jeu. mai , 2026</v>
      </c>
      <c r="Z146" s="143">
        <f t="shared" ca="1" si="24"/>
        <v>31</v>
      </c>
      <c r="AA146" s="348">
        <f t="shared" ca="1" si="25"/>
        <v>5</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Jeu</v>
      </c>
      <c r="U147" s="186" t="str">
        <f t="shared" ca="1" si="32"/>
        <v>mai</v>
      </c>
      <c r="X147" s="347">
        <f t="shared" ca="1" si="36"/>
        <v>46142</v>
      </c>
      <c r="Y147" s="452" t="str">
        <f t="shared" ca="1" si="33"/>
        <v>Jeu. mai , 2026</v>
      </c>
      <c r="Z147" s="143">
        <f t="shared" ca="1" si="24"/>
        <v>31</v>
      </c>
      <c r="AA147" s="348">
        <f t="shared" ca="1" si="25"/>
        <v>5</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Jeu</v>
      </c>
      <c r="U148" s="186" t="str">
        <f t="shared" ca="1" si="32"/>
        <v>mai</v>
      </c>
      <c r="X148" s="347">
        <f t="shared" ca="1" si="36"/>
        <v>46142</v>
      </c>
      <c r="Y148" s="452" t="str">
        <f t="shared" ca="1" si="33"/>
        <v>Jeu. mai , 2026</v>
      </c>
      <c r="Z148" s="143">
        <f t="shared" ref="Z148:Z194" ca="1" si="43">MIN(R148,$AF$5)</f>
        <v>31</v>
      </c>
      <c r="AA148" s="348">
        <f t="shared" ref="AA148:AA194" ca="1" si="44">$AD$6</f>
        <v>5</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Jeu</v>
      </c>
      <c r="U149" s="186" t="str">
        <f t="shared" ref="U149:U194" ca="1" si="51">$U$19</f>
        <v>mai</v>
      </c>
      <c r="X149" s="347">
        <f t="shared" ca="1" si="36"/>
        <v>46142</v>
      </c>
      <c r="Y149" s="452" t="str">
        <f t="shared" ref="Y149:Y194" ca="1" si="52">IF(Y143="f",T149&amp;". "&amp;" "&amp;R149&amp;" "&amp;U149&amp;" "&amp;$AE$7,T149&amp;". "&amp;U149&amp;" "&amp;R149&amp;", "&amp;$AE$7)</f>
        <v>Jeu. mai , 2026</v>
      </c>
      <c r="Z149" s="143">
        <f t="shared" ca="1" si="43"/>
        <v>31</v>
      </c>
      <c r="AA149" s="348">
        <f t="shared" ca="1" si="44"/>
        <v>5</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Jeu</v>
      </c>
      <c r="U150" s="186" t="str">
        <f t="shared" ca="1" si="51"/>
        <v>mai</v>
      </c>
      <c r="X150" s="347">
        <f t="shared" ref="X150:X194" ca="1" si="55">$AE$8+D150</f>
        <v>46142</v>
      </c>
      <c r="Y150" s="452" t="str">
        <f t="shared" ca="1" si="52"/>
        <v>Jeu. mai , 2026</v>
      </c>
      <c r="Z150" s="143">
        <f t="shared" ca="1" si="43"/>
        <v>31</v>
      </c>
      <c r="AA150" s="348">
        <f t="shared" ca="1" si="44"/>
        <v>5</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Jeu</v>
      </c>
      <c r="U151" s="186" t="str">
        <f t="shared" ca="1" si="51"/>
        <v>mai</v>
      </c>
      <c r="X151" s="347">
        <f t="shared" ca="1" si="55"/>
        <v>46142</v>
      </c>
      <c r="Y151" s="452" t="str">
        <f t="shared" ca="1" si="52"/>
        <v>Jeu. mai , 2026</v>
      </c>
      <c r="Z151" s="143">
        <f t="shared" ca="1" si="43"/>
        <v>31</v>
      </c>
      <c r="AA151" s="348">
        <f t="shared" ca="1" si="44"/>
        <v>5</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Jeu</v>
      </c>
      <c r="U152" s="186" t="str">
        <f t="shared" ca="1" si="51"/>
        <v>mai</v>
      </c>
      <c r="X152" s="347">
        <f t="shared" ca="1" si="55"/>
        <v>46142</v>
      </c>
      <c r="Y152" s="452" t="str">
        <f t="shared" ca="1" si="52"/>
        <v>Jeu. mai , 2026</v>
      </c>
      <c r="Z152" s="143">
        <f t="shared" ca="1" si="43"/>
        <v>31</v>
      </c>
      <c r="AA152" s="348">
        <f t="shared" ca="1" si="44"/>
        <v>5</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Jeu</v>
      </c>
      <c r="U153" s="186" t="str">
        <f t="shared" ca="1" si="51"/>
        <v>mai</v>
      </c>
      <c r="X153" s="347">
        <f t="shared" ca="1" si="55"/>
        <v>46142</v>
      </c>
      <c r="Y153" s="452" t="str">
        <f t="shared" ca="1" si="52"/>
        <v>Jeu. mai , 2026</v>
      </c>
      <c r="Z153" s="143">
        <f t="shared" ca="1" si="43"/>
        <v>31</v>
      </c>
      <c r="AA153" s="348">
        <f t="shared" ca="1" si="44"/>
        <v>5</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Jeu</v>
      </c>
      <c r="U154" s="186" t="str">
        <f t="shared" ca="1" si="51"/>
        <v>mai</v>
      </c>
      <c r="X154" s="347">
        <f t="shared" ca="1" si="55"/>
        <v>46142</v>
      </c>
      <c r="Y154" s="452" t="str">
        <f t="shared" ca="1" si="52"/>
        <v>Jeu. mai , 2026</v>
      </c>
      <c r="Z154" s="143">
        <f t="shared" ca="1" si="43"/>
        <v>31</v>
      </c>
      <c r="AA154" s="348">
        <f t="shared" ca="1" si="44"/>
        <v>5</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Jeu</v>
      </c>
      <c r="U155" s="186" t="str">
        <f t="shared" ca="1" si="51"/>
        <v>mai</v>
      </c>
      <c r="X155" s="347">
        <f t="shared" ca="1" si="55"/>
        <v>46142</v>
      </c>
      <c r="Y155" s="452" t="str">
        <f t="shared" ca="1" si="52"/>
        <v>Jeu. mai , 2026</v>
      </c>
      <c r="Z155" s="143">
        <f t="shared" ca="1" si="43"/>
        <v>31</v>
      </c>
      <c r="AA155" s="348">
        <f t="shared" ca="1" si="44"/>
        <v>5</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Jeu</v>
      </c>
      <c r="U156" s="186" t="str">
        <f t="shared" ca="1" si="51"/>
        <v>mai</v>
      </c>
      <c r="X156" s="347">
        <f t="shared" ca="1" si="55"/>
        <v>46142</v>
      </c>
      <c r="Y156" s="452" t="str">
        <f t="shared" ca="1" si="52"/>
        <v>Jeu. mai , 2026</v>
      </c>
      <c r="Z156" s="143">
        <f t="shared" ca="1" si="43"/>
        <v>31</v>
      </c>
      <c r="AA156" s="348">
        <f t="shared" ca="1" si="44"/>
        <v>5</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Jeu</v>
      </c>
      <c r="U157" s="186" t="str">
        <f t="shared" ca="1" si="51"/>
        <v>mai</v>
      </c>
      <c r="X157" s="347">
        <f t="shared" ca="1" si="55"/>
        <v>46142</v>
      </c>
      <c r="Y157" s="452" t="str">
        <f t="shared" ca="1" si="52"/>
        <v>Jeu. mai , 2026</v>
      </c>
      <c r="Z157" s="143">
        <f t="shared" ca="1" si="43"/>
        <v>31</v>
      </c>
      <c r="AA157" s="348">
        <f t="shared" ca="1" si="44"/>
        <v>5</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Jeu</v>
      </c>
      <c r="U158" s="186" t="str">
        <f t="shared" ca="1" si="51"/>
        <v>mai</v>
      </c>
      <c r="X158" s="347">
        <f t="shared" ca="1" si="55"/>
        <v>46142</v>
      </c>
      <c r="Y158" s="452" t="str">
        <f t="shared" ca="1" si="52"/>
        <v>Jeu. mai , 2026</v>
      </c>
      <c r="Z158" s="143">
        <f t="shared" ca="1" si="43"/>
        <v>31</v>
      </c>
      <c r="AA158" s="348">
        <f t="shared" ca="1" si="44"/>
        <v>5</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Jeu</v>
      </c>
      <c r="U159" s="186" t="str">
        <f t="shared" ca="1" si="51"/>
        <v>mai</v>
      </c>
      <c r="X159" s="347">
        <f t="shared" ca="1" si="55"/>
        <v>46142</v>
      </c>
      <c r="Y159" s="452" t="str">
        <f t="shared" ca="1" si="52"/>
        <v>Jeu. mai , 2026</v>
      </c>
      <c r="Z159" s="143">
        <f t="shared" ca="1" si="43"/>
        <v>31</v>
      </c>
      <c r="AA159" s="348">
        <f t="shared" ca="1" si="44"/>
        <v>5</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Jeu</v>
      </c>
      <c r="U160" s="186" t="str">
        <f t="shared" ca="1" si="51"/>
        <v>mai</v>
      </c>
      <c r="X160" s="347">
        <f t="shared" ca="1" si="55"/>
        <v>46142</v>
      </c>
      <c r="Y160" s="452" t="str">
        <f t="shared" ca="1" si="52"/>
        <v>Jeu. mai , 2026</v>
      </c>
      <c r="Z160" s="143">
        <f t="shared" ca="1" si="43"/>
        <v>31</v>
      </c>
      <c r="AA160" s="348">
        <f t="shared" ca="1" si="44"/>
        <v>5</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Jeu</v>
      </c>
      <c r="U161" s="186" t="str">
        <f t="shared" ca="1" si="51"/>
        <v>mai</v>
      </c>
      <c r="X161" s="347">
        <f t="shared" ca="1" si="55"/>
        <v>46142</v>
      </c>
      <c r="Y161" s="452" t="str">
        <f t="shared" ca="1" si="52"/>
        <v>Jeu. mai , 2026</v>
      </c>
      <c r="Z161" s="143">
        <f t="shared" ca="1" si="43"/>
        <v>31</v>
      </c>
      <c r="AA161" s="348">
        <f t="shared" ca="1" si="44"/>
        <v>5</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Jeu</v>
      </c>
      <c r="U162" s="186" t="str">
        <f t="shared" ca="1" si="51"/>
        <v>mai</v>
      </c>
      <c r="X162" s="347">
        <f t="shared" ca="1" si="55"/>
        <v>46142</v>
      </c>
      <c r="Y162" s="452" t="str">
        <f t="shared" ca="1" si="52"/>
        <v>Jeu. mai , 2026</v>
      </c>
      <c r="Z162" s="143">
        <f t="shared" ca="1" si="43"/>
        <v>31</v>
      </c>
      <c r="AA162" s="348">
        <f t="shared" ca="1" si="44"/>
        <v>5</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Jeu</v>
      </c>
      <c r="U163" s="186" t="str">
        <f t="shared" ca="1" si="51"/>
        <v>mai</v>
      </c>
      <c r="X163" s="347">
        <f t="shared" ca="1" si="55"/>
        <v>46142</v>
      </c>
      <c r="Y163" s="452" t="str">
        <f t="shared" ca="1" si="52"/>
        <v>Jeu. mai , 2026</v>
      </c>
      <c r="Z163" s="143">
        <f t="shared" ca="1" si="43"/>
        <v>31</v>
      </c>
      <c r="AA163" s="348">
        <f t="shared" ca="1" si="44"/>
        <v>5</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Jeu</v>
      </c>
      <c r="U164" s="186" t="str">
        <f t="shared" ca="1" si="51"/>
        <v>mai</v>
      </c>
      <c r="X164" s="347">
        <f t="shared" ca="1" si="55"/>
        <v>46142</v>
      </c>
      <c r="Y164" s="452" t="str">
        <f t="shared" ca="1" si="52"/>
        <v>Jeu. mai , 2026</v>
      </c>
      <c r="Z164" s="143">
        <f t="shared" ca="1" si="43"/>
        <v>31</v>
      </c>
      <c r="AA164" s="348">
        <f t="shared" ca="1" si="44"/>
        <v>5</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Jeu</v>
      </c>
      <c r="U165" s="186" t="str">
        <f t="shared" ca="1" si="51"/>
        <v>mai</v>
      </c>
      <c r="X165" s="347">
        <f t="shared" ca="1" si="55"/>
        <v>46142</v>
      </c>
      <c r="Y165" s="452" t="str">
        <f t="shared" ca="1" si="52"/>
        <v>Jeu. mai , 2026</v>
      </c>
      <c r="Z165" s="143">
        <f t="shared" ca="1" si="43"/>
        <v>31</v>
      </c>
      <c r="AA165" s="348">
        <f t="shared" ca="1" si="44"/>
        <v>5</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Jeu</v>
      </c>
      <c r="U166" s="186" t="str">
        <f t="shared" ca="1" si="51"/>
        <v>mai</v>
      </c>
      <c r="X166" s="347">
        <f t="shared" ca="1" si="55"/>
        <v>46142</v>
      </c>
      <c r="Y166" s="452" t="str">
        <f t="shared" ca="1" si="52"/>
        <v>Jeu. mai , 2026</v>
      </c>
      <c r="Z166" s="143">
        <f t="shared" ca="1" si="43"/>
        <v>31</v>
      </c>
      <c r="AA166" s="348">
        <f t="shared" ca="1" si="44"/>
        <v>5</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Jeu</v>
      </c>
      <c r="U167" s="186" t="str">
        <f t="shared" ca="1" si="51"/>
        <v>mai</v>
      </c>
      <c r="X167" s="347">
        <f t="shared" ca="1" si="55"/>
        <v>46142</v>
      </c>
      <c r="Y167" s="452" t="str">
        <f t="shared" ca="1" si="52"/>
        <v>Jeu. mai , 2026</v>
      </c>
      <c r="Z167" s="143">
        <f t="shared" ca="1" si="43"/>
        <v>31</v>
      </c>
      <c r="AA167" s="348">
        <f t="shared" ca="1" si="44"/>
        <v>5</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Jeu</v>
      </c>
      <c r="U168" s="186" t="str">
        <f t="shared" ca="1" si="51"/>
        <v>mai</v>
      </c>
      <c r="X168" s="347">
        <f t="shared" ca="1" si="55"/>
        <v>46142</v>
      </c>
      <c r="Y168" s="452" t="str">
        <f t="shared" ca="1" si="52"/>
        <v>Jeu. mai , 2026</v>
      </c>
      <c r="Z168" s="143">
        <f t="shared" ca="1" si="43"/>
        <v>31</v>
      </c>
      <c r="AA168" s="348">
        <f t="shared" ca="1" si="44"/>
        <v>5</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Jeu</v>
      </c>
      <c r="U169" s="186" t="str">
        <f t="shared" ca="1" si="51"/>
        <v>mai</v>
      </c>
      <c r="X169" s="347">
        <f t="shared" ca="1" si="55"/>
        <v>46142</v>
      </c>
      <c r="Y169" s="452" t="str">
        <f t="shared" ca="1" si="52"/>
        <v>Jeu. mai , 2026</v>
      </c>
      <c r="Z169" s="143">
        <f t="shared" ca="1" si="43"/>
        <v>31</v>
      </c>
      <c r="AA169" s="348">
        <f t="shared" ca="1" si="44"/>
        <v>5</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Jeu</v>
      </c>
      <c r="U170" s="186" t="str">
        <f t="shared" ca="1" si="51"/>
        <v>mai</v>
      </c>
      <c r="X170" s="347">
        <f t="shared" ca="1" si="55"/>
        <v>46142</v>
      </c>
      <c r="Y170" s="452" t="str">
        <f t="shared" ca="1" si="52"/>
        <v>Jeu. mai , 2026</v>
      </c>
      <c r="Z170" s="143">
        <f t="shared" ca="1" si="43"/>
        <v>31</v>
      </c>
      <c r="AA170" s="348">
        <f t="shared" ca="1" si="44"/>
        <v>5</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Jeu</v>
      </c>
      <c r="U171" s="186" t="str">
        <f t="shared" ca="1" si="51"/>
        <v>mai</v>
      </c>
      <c r="X171" s="347">
        <f t="shared" ca="1" si="55"/>
        <v>46142</v>
      </c>
      <c r="Y171" s="452" t="str">
        <f t="shared" ca="1" si="52"/>
        <v>Jeu. mai , 2026</v>
      </c>
      <c r="Z171" s="143">
        <f t="shared" ca="1" si="43"/>
        <v>31</v>
      </c>
      <c r="AA171" s="348">
        <f t="shared" ca="1" si="44"/>
        <v>5</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Jeu</v>
      </c>
      <c r="U172" s="186" t="str">
        <f t="shared" ca="1" si="51"/>
        <v>mai</v>
      </c>
      <c r="X172" s="347">
        <f t="shared" ca="1" si="55"/>
        <v>46142</v>
      </c>
      <c r="Y172" s="452" t="str">
        <f t="shared" ca="1" si="52"/>
        <v>Jeu. mai , 2026</v>
      </c>
      <c r="Z172" s="143">
        <f t="shared" ca="1" si="43"/>
        <v>31</v>
      </c>
      <c r="AA172" s="348">
        <f t="shared" ca="1" si="44"/>
        <v>5</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Jeu</v>
      </c>
      <c r="U173" s="186" t="str">
        <f t="shared" ca="1" si="51"/>
        <v>mai</v>
      </c>
      <c r="X173" s="347">
        <f t="shared" ca="1" si="55"/>
        <v>46142</v>
      </c>
      <c r="Y173" s="452" t="str">
        <f t="shared" ca="1" si="52"/>
        <v>Jeu. mai , 2026</v>
      </c>
      <c r="Z173" s="143">
        <f t="shared" ca="1" si="43"/>
        <v>31</v>
      </c>
      <c r="AA173" s="348">
        <f t="shared" ca="1" si="44"/>
        <v>5</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Jeu</v>
      </c>
      <c r="U174" s="186" t="str">
        <f t="shared" ca="1" si="51"/>
        <v>mai</v>
      </c>
      <c r="X174" s="347">
        <f t="shared" ca="1" si="55"/>
        <v>46142</v>
      </c>
      <c r="Y174" s="452" t="str">
        <f t="shared" ca="1" si="52"/>
        <v>Jeu. mai , 2026</v>
      </c>
      <c r="Z174" s="143">
        <f t="shared" ca="1" si="43"/>
        <v>31</v>
      </c>
      <c r="AA174" s="348">
        <f t="shared" ca="1" si="44"/>
        <v>5</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Jeu</v>
      </c>
      <c r="U175" s="186" t="str">
        <f t="shared" ca="1" si="51"/>
        <v>mai</v>
      </c>
      <c r="X175" s="347">
        <f t="shared" ca="1" si="55"/>
        <v>46142</v>
      </c>
      <c r="Y175" s="452" t="str">
        <f t="shared" ca="1" si="52"/>
        <v>Jeu. mai , 2026</v>
      </c>
      <c r="Z175" s="143">
        <f t="shared" ca="1" si="43"/>
        <v>31</v>
      </c>
      <c r="AA175" s="348">
        <f t="shared" ca="1" si="44"/>
        <v>5</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Jeu</v>
      </c>
      <c r="U176" s="186" t="str">
        <f t="shared" ca="1" si="51"/>
        <v>mai</v>
      </c>
      <c r="X176" s="347">
        <f t="shared" ca="1" si="55"/>
        <v>46142</v>
      </c>
      <c r="Y176" s="452" t="str">
        <f t="shared" ca="1" si="52"/>
        <v>Jeu. mai , 2026</v>
      </c>
      <c r="Z176" s="143">
        <f t="shared" ca="1" si="43"/>
        <v>31</v>
      </c>
      <c r="AA176" s="348">
        <f t="shared" ca="1" si="44"/>
        <v>5</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Jeu</v>
      </c>
      <c r="U177" s="186" t="str">
        <f t="shared" ca="1" si="51"/>
        <v>mai</v>
      </c>
      <c r="X177" s="347">
        <f t="shared" ca="1" si="55"/>
        <v>46142</v>
      </c>
      <c r="Y177" s="452" t="str">
        <f t="shared" ca="1" si="52"/>
        <v>Jeu. mai , 2026</v>
      </c>
      <c r="Z177" s="143">
        <f t="shared" ca="1" si="43"/>
        <v>31</v>
      </c>
      <c r="AA177" s="348">
        <f t="shared" ca="1" si="44"/>
        <v>5</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Jeu</v>
      </c>
      <c r="U178" s="186" t="str">
        <f t="shared" ca="1" si="51"/>
        <v>mai</v>
      </c>
      <c r="X178" s="347">
        <f t="shared" ca="1" si="55"/>
        <v>46142</v>
      </c>
      <c r="Y178" s="452" t="str">
        <f t="shared" ca="1" si="52"/>
        <v>Jeu. mai , 2026</v>
      </c>
      <c r="Z178" s="143">
        <f t="shared" ca="1" si="43"/>
        <v>31</v>
      </c>
      <c r="AA178" s="348">
        <f t="shared" ca="1" si="44"/>
        <v>5</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Jeu</v>
      </c>
      <c r="U179" s="186" t="str">
        <f t="shared" ca="1" si="51"/>
        <v>mai</v>
      </c>
      <c r="X179" s="347">
        <f t="shared" ca="1" si="55"/>
        <v>46142</v>
      </c>
      <c r="Y179" s="452" t="str">
        <f t="shared" ca="1" si="52"/>
        <v>Jeu. mai , 2026</v>
      </c>
      <c r="Z179" s="143">
        <f t="shared" ca="1" si="43"/>
        <v>31</v>
      </c>
      <c r="AA179" s="348">
        <f t="shared" ca="1" si="44"/>
        <v>5</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Jeu</v>
      </c>
      <c r="U180" s="186" t="str">
        <f t="shared" ca="1" si="51"/>
        <v>mai</v>
      </c>
      <c r="X180" s="347">
        <f t="shared" ca="1" si="55"/>
        <v>46142</v>
      </c>
      <c r="Y180" s="452" t="str">
        <f t="shared" ca="1" si="52"/>
        <v>Jeu. mai , 2026</v>
      </c>
      <c r="Z180" s="143">
        <f t="shared" ca="1" si="43"/>
        <v>31</v>
      </c>
      <c r="AA180" s="348">
        <f t="shared" ca="1" si="44"/>
        <v>5</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Jeu</v>
      </c>
      <c r="U181" s="186" t="str">
        <f t="shared" ca="1" si="51"/>
        <v>mai</v>
      </c>
      <c r="X181" s="347">
        <f t="shared" ca="1" si="55"/>
        <v>46142</v>
      </c>
      <c r="Y181" s="452" t="str">
        <f t="shared" ca="1" si="52"/>
        <v>Jeu. mai , 2026</v>
      </c>
      <c r="Z181" s="143">
        <f t="shared" ca="1" si="43"/>
        <v>31</v>
      </c>
      <c r="AA181" s="348">
        <f t="shared" ca="1" si="44"/>
        <v>5</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Jeu</v>
      </c>
      <c r="U182" s="186" t="str">
        <f t="shared" ca="1" si="51"/>
        <v>mai</v>
      </c>
      <c r="X182" s="347">
        <f t="shared" ca="1" si="55"/>
        <v>46142</v>
      </c>
      <c r="Y182" s="452" t="str">
        <f t="shared" ca="1" si="52"/>
        <v>Jeu. mai , 2026</v>
      </c>
      <c r="Z182" s="143">
        <f t="shared" ca="1" si="43"/>
        <v>31</v>
      </c>
      <c r="AA182" s="348">
        <f t="shared" ca="1" si="44"/>
        <v>5</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Jeu</v>
      </c>
      <c r="U183" s="186" t="str">
        <f t="shared" ca="1" si="51"/>
        <v>mai</v>
      </c>
      <c r="X183" s="347">
        <f t="shared" ca="1" si="55"/>
        <v>46142</v>
      </c>
      <c r="Y183" s="452" t="str">
        <f t="shared" ca="1" si="52"/>
        <v>Jeu. mai , 2026</v>
      </c>
      <c r="Z183" s="143">
        <f t="shared" ca="1" si="43"/>
        <v>31</v>
      </c>
      <c r="AA183" s="348">
        <f t="shared" ca="1" si="44"/>
        <v>5</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Jeu</v>
      </c>
      <c r="U184" s="186" t="str">
        <f t="shared" ca="1" si="51"/>
        <v>mai</v>
      </c>
      <c r="X184" s="347">
        <f t="shared" ca="1" si="55"/>
        <v>46142</v>
      </c>
      <c r="Y184" s="452" t="str">
        <f t="shared" ca="1" si="52"/>
        <v>Jeu. mai , 2026</v>
      </c>
      <c r="Z184" s="143">
        <f t="shared" ca="1" si="43"/>
        <v>31</v>
      </c>
      <c r="AA184" s="348">
        <f t="shared" ca="1" si="44"/>
        <v>5</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Jeu</v>
      </c>
      <c r="U185" s="186" t="str">
        <f t="shared" ca="1" si="51"/>
        <v>mai</v>
      </c>
      <c r="X185" s="347">
        <f t="shared" ca="1" si="55"/>
        <v>46142</v>
      </c>
      <c r="Y185" s="452" t="str">
        <f t="shared" ca="1" si="52"/>
        <v>Jeu. mai , 2026</v>
      </c>
      <c r="Z185" s="143">
        <f t="shared" ca="1" si="43"/>
        <v>31</v>
      </c>
      <c r="AA185" s="348">
        <f t="shared" ca="1" si="44"/>
        <v>5</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Jeu</v>
      </c>
      <c r="U186" s="186" t="str">
        <f t="shared" ca="1" si="51"/>
        <v>mai</v>
      </c>
      <c r="X186" s="347">
        <f t="shared" ca="1" si="55"/>
        <v>46142</v>
      </c>
      <c r="Y186" s="452" t="str">
        <f t="shared" ca="1" si="52"/>
        <v>Jeu. mai , 2026</v>
      </c>
      <c r="Z186" s="143">
        <f t="shared" ca="1" si="43"/>
        <v>31</v>
      </c>
      <c r="AA186" s="348">
        <f t="shared" ca="1" si="44"/>
        <v>5</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Jeu</v>
      </c>
      <c r="U187" s="186" t="str">
        <f t="shared" ca="1" si="51"/>
        <v>mai</v>
      </c>
      <c r="X187" s="347">
        <f t="shared" ca="1" si="55"/>
        <v>46142</v>
      </c>
      <c r="Y187" s="452" t="str">
        <f t="shared" ca="1" si="52"/>
        <v>Jeu. mai , 2026</v>
      </c>
      <c r="Z187" s="143">
        <f t="shared" ca="1" si="43"/>
        <v>31</v>
      </c>
      <c r="AA187" s="348">
        <f t="shared" ca="1" si="44"/>
        <v>5</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Jeu</v>
      </c>
      <c r="U188" s="186" t="str">
        <f t="shared" ca="1" si="51"/>
        <v>mai</v>
      </c>
      <c r="X188" s="347">
        <f t="shared" ca="1" si="55"/>
        <v>46142</v>
      </c>
      <c r="Y188" s="452" t="str">
        <f t="shared" ca="1" si="52"/>
        <v>Jeu. mai , 2026</v>
      </c>
      <c r="Z188" s="143">
        <f t="shared" ca="1" si="43"/>
        <v>31</v>
      </c>
      <c r="AA188" s="348">
        <f t="shared" ca="1" si="44"/>
        <v>5</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Jeu</v>
      </c>
      <c r="U189" s="186" t="str">
        <f t="shared" ca="1" si="51"/>
        <v>mai</v>
      </c>
      <c r="X189" s="347">
        <f t="shared" ca="1" si="55"/>
        <v>46142</v>
      </c>
      <c r="Y189" s="452" t="str">
        <f t="shared" ca="1" si="52"/>
        <v>Jeu. mai , 2026</v>
      </c>
      <c r="Z189" s="143">
        <f t="shared" ca="1" si="43"/>
        <v>31</v>
      </c>
      <c r="AA189" s="348">
        <f t="shared" ca="1" si="44"/>
        <v>5</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Jeu</v>
      </c>
      <c r="U190" s="186" t="str">
        <f t="shared" ca="1" si="51"/>
        <v>mai</v>
      </c>
      <c r="X190" s="347">
        <f t="shared" ca="1" si="55"/>
        <v>46142</v>
      </c>
      <c r="Y190" s="452" t="str">
        <f t="shared" ca="1" si="52"/>
        <v>Jeu. mai , 2026</v>
      </c>
      <c r="Z190" s="143">
        <f t="shared" ca="1" si="43"/>
        <v>31</v>
      </c>
      <c r="AA190" s="348">
        <f t="shared" ca="1" si="44"/>
        <v>5</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Jeu</v>
      </c>
      <c r="U191" s="186" t="str">
        <f t="shared" ca="1" si="51"/>
        <v>mai</v>
      </c>
      <c r="X191" s="347">
        <f t="shared" ca="1" si="55"/>
        <v>46142</v>
      </c>
      <c r="Y191" s="452" t="str">
        <f t="shared" ca="1" si="52"/>
        <v>Jeu. mai , 2026</v>
      </c>
      <c r="Z191" s="143">
        <f t="shared" ca="1" si="43"/>
        <v>31</v>
      </c>
      <c r="AA191" s="348">
        <f t="shared" ca="1" si="44"/>
        <v>5</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Jeu</v>
      </c>
      <c r="U192" s="186" t="str">
        <f t="shared" ca="1" si="51"/>
        <v>mai</v>
      </c>
      <c r="X192" s="347">
        <f t="shared" ca="1" si="55"/>
        <v>46142</v>
      </c>
      <c r="Y192" s="452" t="str">
        <f t="shared" ca="1" si="52"/>
        <v>Jeu. mai , 2026</v>
      </c>
      <c r="Z192" s="143">
        <f t="shared" ca="1" si="43"/>
        <v>31</v>
      </c>
      <c r="AA192" s="348">
        <f t="shared" ca="1" si="44"/>
        <v>5</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Jeu</v>
      </c>
      <c r="U193" s="186" t="str">
        <f t="shared" ca="1" si="51"/>
        <v>mai</v>
      </c>
      <c r="X193" s="347">
        <f t="shared" ca="1" si="55"/>
        <v>46142</v>
      </c>
      <c r="Y193" s="452" t="str">
        <f t="shared" ca="1" si="52"/>
        <v>Jeu. mai , 2026</v>
      </c>
      <c r="Z193" s="143">
        <f t="shared" ca="1" si="43"/>
        <v>31</v>
      </c>
      <c r="AA193" s="348">
        <f t="shared" ca="1" si="44"/>
        <v>5</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Jeu</v>
      </c>
      <c r="U194" s="186" t="str">
        <f t="shared" ca="1" si="51"/>
        <v>mai</v>
      </c>
      <c r="X194" s="347">
        <f t="shared" ca="1" si="55"/>
        <v>46142</v>
      </c>
      <c r="Y194" s="452" t="str">
        <f t="shared" ca="1" si="52"/>
        <v>Jeu. mai , 2026</v>
      </c>
      <c r="Z194" s="143">
        <f t="shared" ca="1" si="43"/>
        <v>31</v>
      </c>
      <c r="AA194" s="348">
        <f t="shared" ca="1" si="44"/>
        <v>5</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31</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31</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31</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31</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31</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545" priority="60" stopIfTrue="1">
      <formula>AND($AJ$2=$AF$5,$X$16=$X$13)</formula>
    </cfRule>
  </conditionalFormatting>
  <conditionalFormatting sqref="B18">
    <cfRule type="expression" dxfId="544" priority="39" stopIfTrue="1">
      <formula>(B18&gt;DATE(2000+$Y$2,$AA$21+1,1)-DATE(2000+$Y$2,$AA$21,1))</formula>
    </cfRule>
  </conditionalFormatting>
  <conditionalFormatting sqref="B20:B194">
    <cfRule type="expression" dxfId="543" priority="6" stopIfTrue="1">
      <formula>($G20="- -")</formula>
    </cfRule>
  </conditionalFormatting>
  <conditionalFormatting sqref="B16:J16">
    <cfRule type="expression" dxfId="542" priority="46" stopIfTrue="1">
      <formula>AND($AJ$2=$AF$5,$X$16=$X$13)</formula>
    </cfRule>
  </conditionalFormatting>
  <conditionalFormatting sqref="C17">
    <cfRule type="cellIs" dxfId="541" priority="45" stopIfTrue="1" operator="equal">
      <formula>"X"</formula>
    </cfRule>
  </conditionalFormatting>
  <conditionalFormatting sqref="C20:C194">
    <cfRule type="expression" dxfId="540" priority="14" stopIfTrue="1">
      <formula>($X$16=$X$14)</formula>
    </cfRule>
    <cfRule type="expression" dxfId="539" priority="15" stopIfTrue="1">
      <formula>($AV20=1)</formula>
    </cfRule>
    <cfRule type="expression" dxfId="538" priority="16" stopIfTrue="1">
      <formula>AND(D20=1+D19,G20=X20)</formula>
    </cfRule>
  </conditionalFormatting>
  <conditionalFormatting sqref="C9:J9">
    <cfRule type="expression" dxfId="537" priority="71" stopIfTrue="1">
      <formula>AND(ISNUMBER(C$9),ISNUMBER(C10),(C$9&gt;C$10))</formula>
    </cfRule>
  </conditionalFormatting>
  <conditionalFormatting sqref="C10:J10">
    <cfRule type="expression" dxfId="536" priority="77" stopIfTrue="1">
      <formula>AND(ISNUMBER(C$9),ISNUMBER(C10),(C$9&gt;C$10))</formula>
    </cfRule>
  </conditionalFormatting>
  <conditionalFormatting sqref="D20">
    <cfRule type="expression" dxfId="535" priority="18" stopIfTrue="1">
      <formula>AND($G20&lt;&gt;"- -",$G20&lt;&gt;$Y20)</formula>
    </cfRule>
    <cfRule type="expression" dxfId="534" priority="19" stopIfTrue="1">
      <formula>($AI20=1)</formula>
    </cfRule>
  </conditionalFormatting>
  <conditionalFormatting sqref="D21:D194">
    <cfRule type="expression" dxfId="533" priority="63" stopIfTrue="1">
      <formula>($AI21=1)</formula>
    </cfRule>
    <cfRule type="expression" dxfId="532" priority="62" stopIfTrue="1">
      <formula>AND($G21&lt;&gt;"- -",$G21&lt;&gt;$Y21)</formula>
    </cfRule>
  </conditionalFormatting>
  <conditionalFormatting sqref="D18:G19">
    <cfRule type="expression" dxfId="531" priority="38" stopIfTrue="1">
      <formula>($AB$16&lt;2)</formula>
    </cfRule>
  </conditionalFormatting>
  <conditionalFormatting sqref="D20:G194">
    <cfRule type="expression" dxfId="530" priority="17" stopIfTrue="1">
      <formula>OR($G20=$G19,$D20=$D19)</formula>
    </cfRule>
  </conditionalFormatting>
  <conditionalFormatting sqref="E8:F8">
    <cfRule type="expression" dxfId="529" priority="73" stopIfTrue="1">
      <formula>AND(ISNUMBER(E$9),ISNUMBER(E10),(E$9&gt;E$10))</formula>
    </cfRule>
    <cfRule type="expression" dxfId="528" priority="72" stopIfTrue="1">
      <formula>(BJ$13&gt;0)</formula>
    </cfRule>
  </conditionalFormatting>
  <conditionalFormatting sqref="E20:G20">
    <cfRule type="expression" dxfId="527" priority="22" stopIfTrue="1">
      <formula>($AI20+$AX20&gt;0)</formula>
    </cfRule>
    <cfRule type="expression" dxfId="526" priority="21" stopIfTrue="1">
      <formula>AND($G20&lt;&gt;"- -",$G20&lt;&gt;$Y20)</formula>
    </cfRule>
  </conditionalFormatting>
  <conditionalFormatting sqref="E21:G194">
    <cfRule type="expression" dxfId="525" priority="66" stopIfTrue="1">
      <formula>($AI21+$AX21&gt;0)</formula>
    </cfRule>
    <cfRule type="expression" dxfId="524" priority="65" stopIfTrue="1">
      <formula>AND($G21&lt;&gt;"- -",$G21&lt;&gt;$Y21)</formula>
    </cfRule>
  </conditionalFormatting>
  <conditionalFormatting sqref="G8:J8">
    <cfRule type="expression" dxfId="523" priority="75" stopIfTrue="1">
      <formula>AND(ISNUMBER(G$9),ISNUMBER(G10),(G$9&gt;G$10))</formula>
    </cfRule>
    <cfRule type="expression" dxfId="522" priority="74" stopIfTrue="1">
      <formula>(BK$13&gt;0)</formula>
    </cfRule>
  </conditionalFormatting>
  <conditionalFormatting sqref="H6:I7">
    <cfRule type="expression" dxfId="521" priority="76" stopIfTrue="1">
      <formula>AND(ISNUMBER($H$7),$H$7&lt;$I$7)</formula>
    </cfRule>
  </conditionalFormatting>
  <conditionalFormatting sqref="H21:J194">
    <cfRule type="expression" dxfId="520" priority="4" stopIfTrue="1">
      <formula>($D20=$D21)</formula>
    </cfRule>
  </conditionalFormatting>
  <conditionalFormatting sqref="J7">
    <cfRule type="cellIs" dxfId="519" priority="50" stopIfTrue="1" operator="lessThan">
      <formula>0</formula>
    </cfRule>
  </conditionalFormatting>
  <conditionalFormatting sqref="K20:K34">
    <cfRule type="expression" dxfId="518" priority="70" stopIfTrue="1">
      <formula>AND(ISNUMBER(K20),ISNUMBER(L20),OR(K20&lt;L19,K20&gt;L20))</formula>
    </cfRule>
  </conditionalFormatting>
  <conditionalFormatting sqref="K35:K194">
    <cfRule type="expression" dxfId="517" priority="59" stopIfTrue="1">
      <formula>AND(ISNUMBER(K35),OR(K35&lt;L34,K35&gt;L35,$BM35&lt;&gt;1))</formula>
    </cfRule>
  </conditionalFormatting>
  <conditionalFormatting sqref="K18:L18 BE19:BF19">
    <cfRule type="expression" dxfId="516" priority="28" stopIfTrue="1">
      <formula>($K$19=$AL$7)</formula>
    </cfRule>
  </conditionalFormatting>
  <conditionalFormatting sqref="K20:M194">
    <cfRule type="expression" dxfId="515" priority="52" stopIfTrue="1">
      <formula>OR($AJ$2=$AF$5,$AW20=0,$AV20=1,$AG20=99)</formula>
    </cfRule>
  </conditionalFormatting>
  <conditionalFormatting sqref="L20:L34">
    <cfRule type="expression" dxfId="514" priority="68" stopIfTrue="1">
      <formula>AND(ISNUMBER(L20),OR(AND(L20&lt;K19,B20&gt;1),K20&gt;L20))</formula>
    </cfRule>
  </conditionalFormatting>
  <conditionalFormatting sqref="L35:L194">
    <cfRule type="expression" dxfId="513" priority="57" stopIfTrue="1">
      <formula>AND(ISNUMBER(L35),OR(AND(L35&lt;K34,B35&gt;1),K35&gt;L35,$BN35&lt;&gt;1))</formula>
    </cfRule>
  </conditionalFormatting>
  <conditionalFormatting sqref="M19 BG20">
    <cfRule type="cellIs" dxfId="512" priority="43" stopIfTrue="1" operator="equal">
      <formula>0</formula>
    </cfRule>
    <cfRule type="expression" dxfId="511" priority="44" stopIfTrue="1">
      <formula>($AJ$2=$AF$5)</formula>
    </cfRule>
  </conditionalFormatting>
  <conditionalFormatting sqref="M20:M194">
    <cfRule type="cellIs" dxfId="510" priority="53" stopIfTrue="1" operator="lessThan">
      <formula>0</formula>
    </cfRule>
    <cfRule type="expression" dxfId="509" priority="54" stopIfTrue="1">
      <formula>($D19=$D20)</formula>
    </cfRule>
  </conditionalFormatting>
  <conditionalFormatting sqref="N19:Q19 BH20:BK20">
    <cfRule type="cellIs" dxfId="508" priority="41" stopIfTrue="1" operator="equal">
      <formula>0</formula>
    </cfRule>
    <cfRule type="expression" dxfId="507" priority="42" stopIfTrue="1">
      <formula>($AJ$2=$AF$5)</formula>
    </cfRule>
  </conditionalFormatting>
  <conditionalFormatting sqref="N20:Q194">
    <cfRule type="expression" dxfId="506" priority="51" stopIfTrue="1">
      <formula>OR($AW20=0,$AV20=1,$AG20=99,$AJ$2=$AF$5)</formula>
    </cfRule>
  </conditionalFormatting>
  <conditionalFormatting sqref="R20:R194">
    <cfRule type="expression" dxfId="505" priority="13" stopIfTrue="1">
      <formula>($AI20=1)</formula>
    </cfRule>
    <cfRule type="expression" dxfId="504" priority="12" stopIfTrue="1">
      <formula>"ND($G21&lt;&gt;""- -"",$G21&lt;&gt;TEXT(X21,""Dddd, Mmmm dd, Yyyy""))"</formula>
    </cfRule>
    <cfRule type="expression" dxfId="503" priority="11" stopIfTrue="1">
      <formula>OR($G20=$G19,$D20=$D19)</formula>
    </cfRule>
  </conditionalFormatting>
  <conditionalFormatting sqref="U5">
    <cfRule type="expression" dxfId="502" priority="24" stopIfTrue="1">
      <formula>OR($AC$7,$AC$6)</formula>
    </cfRule>
  </conditionalFormatting>
  <conditionalFormatting sqref="U18 X20:Z194 AC20:AE194 AK20:AK194 AQ20:AR194">
    <cfRule type="cellIs" dxfId="501" priority="5" stopIfTrue="1" operator="notEqual">
      <formula>U17</formula>
    </cfRule>
  </conditionalFormatting>
  <conditionalFormatting sqref="U201:AB201">
    <cfRule type="expression" dxfId="500" priority="40" stopIfTrue="1">
      <formula>(LEN($X$11)&gt;4)</formula>
    </cfRule>
  </conditionalFormatting>
  <conditionalFormatting sqref="V5:V7 J6 U6:U7">
    <cfRule type="expression" dxfId="499" priority="23" stopIfTrue="1">
      <formula>OR($AC$7,$AC$6,#REF!)</formula>
    </cfRule>
  </conditionalFormatting>
  <conditionalFormatting sqref="V19">
    <cfRule type="cellIs" dxfId="498" priority="25" stopIfTrue="1" operator="equal">
      <formula>1</formula>
    </cfRule>
  </conditionalFormatting>
  <conditionalFormatting sqref="AB6">
    <cfRule type="expression" dxfId="497" priority="31" stopIfTrue="1">
      <formula>$AC$6</formula>
    </cfRule>
  </conditionalFormatting>
  <conditionalFormatting sqref="AB7">
    <cfRule type="expression" dxfId="496" priority="30" stopIfTrue="1">
      <formula>$AC$7</formula>
    </cfRule>
  </conditionalFormatting>
  <conditionalFormatting sqref="AB20:AB194">
    <cfRule type="cellIs" dxfId="495" priority="48" stopIfTrue="1" operator="greaterThan">
      <formula>0</formula>
    </cfRule>
    <cfRule type="cellIs" dxfId="494" priority="49" stopIfTrue="1" operator="lessThan">
      <formula>0</formula>
    </cfRule>
  </conditionalFormatting>
  <conditionalFormatting sqref="AF20:AG194">
    <cfRule type="cellIs" dxfId="493" priority="34" stopIfTrue="1" operator="greaterThan">
      <formula>1</formula>
    </cfRule>
  </conditionalFormatting>
  <conditionalFormatting sqref="AJ16:AJ17 AJ20:AJ194">
    <cfRule type="cellIs" dxfId="492" priority="33" stopIfTrue="1" operator="greaterThan">
      <formula>0</formula>
    </cfRule>
  </conditionalFormatting>
  <conditionalFormatting sqref="AK2:BO2">
    <cfRule type="cellIs" dxfId="491" priority="37" stopIfTrue="1" operator="equal">
      <formula>0</formula>
    </cfRule>
  </conditionalFormatting>
  <conditionalFormatting sqref="AK5:BO6">
    <cfRule type="cellIs" dxfId="490" priority="32" stopIfTrue="1" operator="equal">
      <formula>0</formula>
    </cfRule>
  </conditionalFormatting>
  <conditionalFormatting sqref="AP20:AP194">
    <cfRule type="cellIs" dxfId="489" priority="27" stopIfTrue="1" operator="lessThan">
      <formula>999</formula>
    </cfRule>
  </conditionalFormatting>
  <conditionalFormatting sqref="AU20:AU194">
    <cfRule type="expression" dxfId="488" priority="36" stopIfTrue="1">
      <formula>LEN(AU20)&gt;2</formula>
    </cfRule>
  </conditionalFormatting>
  <conditionalFormatting sqref="AV20:AV194">
    <cfRule type="cellIs" dxfId="487" priority="35" stopIfTrue="1" operator="equal">
      <formula>1</formula>
    </cfRule>
  </conditionalFormatting>
  <conditionalFormatting sqref="AW20:AW194">
    <cfRule type="cellIs" dxfId="486" priority="47" stopIfTrue="1" operator="equal">
      <formula>0</formula>
    </cfRule>
  </conditionalFormatting>
  <conditionalFormatting sqref="BE20:BF20">
    <cfRule type="expression" dxfId="485" priority="29" stopIfTrue="1">
      <formula>($K$19=$AL$7)</formula>
    </cfRule>
  </conditionalFormatting>
  <conditionalFormatting sqref="BI10:BI12 BF11:BF12">
    <cfRule type="expression" dxfId="484" priority="8" stopIfTrue="1">
      <formula>(LEN($C$9)=0)</formula>
    </cfRule>
  </conditionalFormatting>
  <conditionalFormatting sqref="BI10:BN12 BF11:BF12">
    <cfRule type="expression" dxfId="483" priority="7" stopIfTrue="1">
      <formula>LEN($AA9)&gt;4</formula>
    </cfRule>
  </conditionalFormatting>
  <conditionalFormatting sqref="BJ10:BN12">
    <cfRule type="expression" dxfId="482" priority="10" stopIfTrue="1">
      <formula>(LEN(E$9)=0)</formula>
    </cfRule>
  </conditionalFormatting>
  <conditionalFormatting sqref="BJ13:BN13 R16:R17">
    <cfRule type="cellIs" dxfId="481" priority="26" stopIfTrue="1" operator="equal">
      <formula>0</formula>
    </cfRule>
  </conditionalFormatting>
  <conditionalFormatting sqref="BM20:BN194">
    <cfRule type="cellIs" dxfId="480" priority="55" stopIfTrue="1" operator="notEqual">
      <formula>1</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I27" sqref="I27"/>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20" hidden="1" customWidth="1"/>
    <col min="21" max="21" width="11.88671875" style="120" hidden="1" customWidth="1"/>
    <col min="22" max="22" width="4.44140625" style="120" hidden="1" customWidth="1"/>
    <col min="23" max="23" width="10.109375" style="120" hidden="1" customWidth="1"/>
    <col min="24" max="24" width="17.109375" style="120" hidden="1" customWidth="1"/>
    <col min="25" max="25" width="33.6640625" style="120" hidden="1" customWidth="1"/>
    <col min="26" max="26" width="27.88671875" style="120" hidden="1" customWidth="1"/>
    <col min="27" max="27" width="24.109375" style="120" hidden="1" customWidth="1"/>
    <col min="28" max="28" width="12.44140625" style="121" hidden="1" customWidth="1"/>
    <col min="29" max="30" width="9.109375" style="120" hidden="1" customWidth="1"/>
    <col min="31" max="31" width="21.5546875" style="120" hidden="1" customWidth="1"/>
    <col min="32" max="33" width="9.109375" style="120" hidden="1" customWidth="1"/>
    <col min="34" max="34" width="9.109375" style="121" hidden="1" customWidth="1"/>
    <col min="35" max="35" width="10.88671875" style="120" hidden="1" customWidth="1"/>
    <col min="36" max="36" width="24.33203125" style="120" hidden="1" customWidth="1"/>
    <col min="37" max="37" width="11.6640625" style="121" hidden="1" customWidth="1"/>
    <col min="38" max="38" width="18.109375" style="121" hidden="1" customWidth="1"/>
    <col min="39" max="39" width="11" style="121" hidden="1" customWidth="1"/>
    <col min="40" max="40" width="13.6640625" style="121" hidden="1" customWidth="1"/>
    <col min="41" max="41" width="3" style="121" hidden="1" customWidth="1"/>
    <col min="42" max="42" width="6.6640625" style="121" hidden="1" customWidth="1"/>
    <col min="43" max="43" width="3.33203125" style="121" hidden="1" customWidth="1"/>
    <col min="44" max="44" width="6" style="121" hidden="1" customWidth="1"/>
    <col min="45" max="46" width="3" style="121" hidden="1" customWidth="1"/>
    <col min="47" max="47" width="11.5546875" style="121" hidden="1" customWidth="1"/>
    <col min="48" max="48" width="12.109375" style="121" hidden="1" customWidth="1"/>
    <col min="49" max="49" width="10.33203125" style="121" hidden="1" customWidth="1"/>
    <col min="50" max="56" width="3" style="121" hidden="1" customWidth="1"/>
    <col min="57" max="57" width="7.6640625" style="121" hidden="1" customWidth="1"/>
    <col min="58" max="58" width="7.109375" style="121" hidden="1" customWidth="1"/>
    <col min="59" max="61" width="9.88671875" style="121" hidden="1" customWidth="1"/>
    <col min="62" max="62" width="8.6640625" style="121" hidden="1" customWidth="1"/>
    <col min="63" max="63" width="9.33203125" style="121" hidden="1" customWidth="1"/>
    <col min="64" max="64" width="9" style="121" hidden="1" customWidth="1"/>
    <col min="65" max="65" width="11.5546875" style="121" hidden="1" customWidth="1"/>
    <col min="66" max="66" width="12.5546875" style="121" hidden="1" customWidth="1"/>
    <col min="67" max="67" width="11.5546875" style="121" hidden="1" customWidth="1"/>
    <col min="68" max="69" width="9.109375" style="120" hidden="1" customWidth="1"/>
    <col min="70" max="72" width="2.5546875" hidden="1" customWidth="1"/>
    <col min="73" max="254" width="0" hidden="1" customWidth="1"/>
  </cols>
  <sheetData>
    <row r="1" spans="1:255" ht="13.5" customHeight="1" thickBot="1">
      <c r="Q1" s="34"/>
      <c r="R1" s="19"/>
      <c r="S1" s="19"/>
      <c r="T1" s="692"/>
      <c r="U1" s="693"/>
      <c r="V1" s="693"/>
      <c r="W1" s="693"/>
      <c r="X1" s="693"/>
      <c r="Y1" s="693"/>
      <c r="Z1" s="693"/>
      <c r="AA1" s="693"/>
      <c r="AB1" s="693"/>
      <c r="AC1" s="693"/>
      <c r="BQ1" s="251"/>
      <c r="BR1" s="7"/>
      <c r="BS1" s="7"/>
      <c r="BT1" s="7"/>
      <c r="IU1" s="16"/>
    </row>
    <row r="2" spans="1:255" s="2" customFormat="1" ht="27.9" customHeight="1" thickTop="1">
      <c r="B2" s="62" t="str">
        <f>'NTS ONLY_set_year'!$E$34&amp;IF($X$16=$X$14,"",IF('NTS ONLY_set_year'!B1="y",""," ("&amp;$X$13&amp;")"))</f>
        <v>Journal de bord avantages et dépenses d'automobile</v>
      </c>
      <c r="C2" s="54"/>
      <c r="D2" s="62"/>
      <c r="E2" s="54"/>
      <c r="F2" s="54"/>
      <c r="G2" s="54"/>
      <c r="H2" s="54"/>
      <c r="L2" s="63"/>
      <c r="M2" s="63"/>
      <c r="N2" s="749" t="str">
        <f>Instructions!$B$5</f>
        <v xml:space="preserve">Pour en savoir plus, consultez le document : </v>
      </c>
      <c r="O2" s="749"/>
      <c r="P2" s="749"/>
      <c r="Q2" s="506" t="s">
        <v>419</v>
      </c>
      <c r="R2" s="486"/>
      <c r="S2" s="54"/>
      <c r="T2" s="694" t="s">
        <v>370</v>
      </c>
      <c r="U2" s="695"/>
      <c r="V2" s="695"/>
      <c r="W2" s="695"/>
      <c r="X2" s="695"/>
      <c r="Y2" s="695"/>
      <c r="Z2" s="695"/>
      <c r="AA2" s="695"/>
      <c r="AB2" s="695"/>
      <c r="AC2" s="695"/>
      <c r="AD2" s="695"/>
      <c r="AE2" s="695"/>
      <c r="AF2" s="695"/>
      <c r="AG2" s="695"/>
      <c r="AH2" s="124"/>
      <c r="AI2" s="123"/>
      <c r="AJ2" s="252">
        <f ca="1">IF(AV16=AB15,AF5,SUM(OFFSET(AK2,,,,$AF$5)))</f>
        <v>0</v>
      </c>
      <c r="AK2" s="124">
        <f ca="1">IF(ISERROR(MATCH('NTS ONLY_set_year'!$E$143&amp;AK4,$AU$20:$AU$1000,0)),0,1)</f>
        <v>0</v>
      </c>
      <c r="AL2" s="124">
        <f ca="1">IF(ISERROR(MATCH('NTS ONLY_set_year'!$E$143&amp;AL4,$AU$20:$AU$1000,0)),0,1)</f>
        <v>0</v>
      </c>
      <c r="AM2" s="124">
        <f ca="1">IF(ISERROR(MATCH('NTS ONLY_set_year'!$E$143&amp;AM4,$AU$20:$AU$1000,0)),0,1)</f>
        <v>0</v>
      </c>
      <c r="AN2" s="124">
        <f ca="1">IF(ISERROR(MATCH('NTS ONLY_set_year'!$E$143&amp;AN4,$AU$20:$AU$1000,0)),0,1)</f>
        <v>0</v>
      </c>
      <c r="AO2" s="124">
        <f ca="1">IF(ISERROR(MATCH('NTS ONLY_set_year'!$E$143&amp;AO4,$AU$20:$AU$1000,0)),0,1)</f>
        <v>0</v>
      </c>
      <c r="AP2" s="124">
        <f ca="1">IF(ISERROR(MATCH('NTS ONLY_set_year'!$E$143&amp;AP4,$AU$20:$AU$1000,0)),0,1)</f>
        <v>0</v>
      </c>
      <c r="AQ2" s="124">
        <f ca="1">IF(ISERROR(MATCH('NTS ONLY_set_year'!$E$143&amp;AQ4,$AU$20:$AU$1000,0)),0,1)</f>
        <v>0</v>
      </c>
      <c r="AR2" s="124">
        <f ca="1">IF(ISERROR(MATCH('NTS ONLY_set_year'!$E$143&amp;AR4,$AU$20:$AU$1000,0)),0,1)</f>
        <v>0</v>
      </c>
      <c r="AS2" s="124">
        <f ca="1">IF(ISERROR(MATCH('NTS ONLY_set_year'!$E$143&amp;AS4,$AU$20:$AU$1000,0)),0,1)</f>
        <v>0</v>
      </c>
      <c r="AT2" s="124">
        <f ca="1">IF(ISERROR(MATCH('NTS ONLY_set_year'!$E$143&amp;AT4,$AU$20:$AU$1000,0)),0,1)</f>
        <v>0</v>
      </c>
      <c r="AU2" s="124">
        <f ca="1">IF(ISERROR(MATCH('NTS ONLY_set_year'!$E$143&amp;AU4,$AU$20:$AU$1000,0)),0,1)</f>
        <v>0</v>
      </c>
      <c r="AV2" s="124">
        <f ca="1">IF(ISERROR(MATCH('NTS ONLY_set_year'!$E$143&amp;AV4,$AU$20:$AU$1000,0)),0,1)</f>
        <v>0</v>
      </c>
      <c r="AW2" s="124">
        <f ca="1">IF(ISERROR(MATCH('NTS ONLY_set_year'!$E$143&amp;AW4,$AU$20:$AU$1000,0)),0,1)</f>
        <v>0</v>
      </c>
      <c r="AX2" s="124">
        <f ca="1">IF(ISERROR(MATCH('NTS ONLY_set_year'!$E$143&amp;AX4,$AU$20:$AU$1000,0)),0,1)</f>
        <v>0</v>
      </c>
      <c r="AY2" s="124">
        <f ca="1">IF(ISERROR(MATCH('NTS ONLY_set_year'!$E$143&amp;AY4,$AU$20:$AU$1000,0)),0,1)</f>
        <v>0</v>
      </c>
      <c r="AZ2" s="124">
        <f ca="1">IF(ISERROR(MATCH('NTS ONLY_set_year'!$E$143&amp;AZ4,$AU$20:$AU$1000,0)),0,1)</f>
        <v>0</v>
      </c>
      <c r="BA2" s="124">
        <f ca="1">IF(ISERROR(MATCH('NTS ONLY_set_year'!$E$143&amp;BA4,$AU$20:$AU$1000,0)),0,1)</f>
        <v>0</v>
      </c>
      <c r="BB2" s="124">
        <f ca="1">IF(ISERROR(MATCH('NTS ONLY_set_year'!$E$143&amp;BB4,$AU$20:$AU$1000,0)),0,1)</f>
        <v>0</v>
      </c>
      <c r="BC2" s="124">
        <f ca="1">IF(ISERROR(MATCH('NTS ONLY_set_year'!$E$143&amp;BC4,$AU$20:$AU$1000,0)),0,1)</f>
        <v>0</v>
      </c>
      <c r="BD2" s="124">
        <f ca="1">IF(ISERROR(MATCH('NTS ONLY_set_year'!$E$143&amp;BD4,$AU$20:$AU$1000,0)),0,1)</f>
        <v>0</v>
      </c>
      <c r="BE2" s="124">
        <f ca="1">IF(ISERROR(MATCH('NTS ONLY_set_year'!$E$143&amp;BE4,$AU$20:$AU$1000,0)),0,1)</f>
        <v>0</v>
      </c>
      <c r="BF2" s="124">
        <f ca="1">IF(ISERROR(MATCH('NTS ONLY_set_year'!$E$143&amp;BF4,$AU$20:$AU$1000,0)),0,1)</f>
        <v>0</v>
      </c>
      <c r="BG2" s="124">
        <f ca="1">IF(ISERROR(MATCH('NTS ONLY_set_year'!$E$143&amp;BG4,$AU$20:$AU$1000,0)),0,1)</f>
        <v>0</v>
      </c>
      <c r="BH2" s="124">
        <f ca="1">IF(ISERROR(MATCH('NTS ONLY_set_year'!$E$143&amp;BH4,$AU$20:$AU$1000,0)),0,1)</f>
        <v>0</v>
      </c>
      <c r="BI2" s="124">
        <f ca="1">IF(ISERROR(MATCH('NTS ONLY_set_year'!$E$143&amp;BI4,$AU$20:$AU$1000,0)),0,1)</f>
        <v>0</v>
      </c>
      <c r="BJ2" s="124">
        <f ca="1">IF(ISERROR(MATCH('NTS ONLY_set_year'!$E$143&amp;BJ4,$AU$20:$AU$1000,0)),0,1)</f>
        <v>0</v>
      </c>
      <c r="BK2" s="124">
        <f ca="1">IF(ISERROR(MATCH('NTS ONLY_set_year'!$E$143&amp;BK4,$AU$20:$AU$1000,0)),0,1)</f>
        <v>0</v>
      </c>
      <c r="BL2" s="124">
        <f ca="1">IF(ISERROR(MATCH('NTS ONLY_set_year'!$E$143&amp;BL4,$AU$20:$AU$1000,0)),0,1)</f>
        <v>0</v>
      </c>
      <c r="BM2" s="124">
        <f ca="1">IF(ISERROR(MATCH('NTS ONLY_set_year'!$E$143&amp;BM4,$AU$20:$AU$1000,0)),0,1)</f>
        <v>0</v>
      </c>
      <c r="BN2" s="124">
        <f ca="1">IF(ISERROR(MATCH('NTS ONLY_set_year'!$E$143&amp;BN4,$AU$20:$AU$1000,0)),0,1)</f>
        <v>0</v>
      </c>
      <c r="BO2" s="124">
        <f ca="1">IF(ISERROR(MATCH('NTS ONLY_set_year'!$E$143&amp;BO4,$AU$20:$AU$1000,0)),0,1)</f>
        <v>0</v>
      </c>
      <c r="BP2" s="122"/>
      <c r="BQ2" s="253"/>
      <c r="BR2" s="56"/>
      <c r="BS2" s="56"/>
      <c r="BT2" s="56"/>
      <c r="IU2" s="57"/>
    </row>
    <row r="3" spans="1:255" ht="14.25" customHeight="1" thickBot="1">
      <c r="B3" s="745" t="str">
        <f>'NTS ONLY_set_year'!$E$139</f>
        <v>À l'exception du Québec, les travailleurs autonomes peuvent utiliser, dans certains cas, un registre pour une période représentative pour étayer les calculs des frais d'un véhicule.</v>
      </c>
      <c r="C3" s="746"/>
      <c r="D3" s="746"/>
      <c r="E3" s="746"/>
      <c r="F3" s="746"/>
      <c r="G3" s="746"/>
      <c r="H3" s="746"/>
      <c r="I3" s="746"/>
      <c r="J3" s="746"/>
      <c r="K3" s="746"/>
      <c r="L3" s="746"/>
      <c r="M3" s="746"/>
      <c r="N3" s="750" t="str">
        <f>Instructions!$B$6</f>
        <v>Utilisation d'une automobile – Guide fiscal</v>
      </c>
      <c r="O3" s="750"/>
      <c r="P3" s="750"/>
      <c r="Q3" s="506" t="s">
        <v>420</v>
      </c>
      <c r="R3" s="486"/>
      <c r="S3" s="19"/>
      <c r="AD3" s="254" t="str">
        <f ca="1">CELL("filename",AD3)</f>
        <v>https://pwccan.sharepoint.com/sites/CA-TAX-DMS-Tax-NonClient/Tax Marketing/FR-Utilisation d'une automobile/2026/[electronic-car-log-2025-fr.xlsx]06</v>
      </c>
      <c r="AJ3" s="255" t="s">
        <v>421</v>
      </c>
      <c r="AK3" s="121">
        <v>1</v>
      </c>
      <c r="AL3" s="121">
        <v>2</v>
      </c>
      <c r="AM3" s="121">
        <v>3</v>
      </c>
      <c r="AN3" s="121">
        <v>4</v>
      </c>
      <c r="AO3" s="121">
        <v>5</v>
      </c>
      <c r="AP3" s="121">
        <v>6</v>
      </c>
      <c r="AQ3" s="121">
        <v>7</v>
      </c>
      <c r="AR3" s="121">
        <v>8</v>
      </c>
      <c r="AS3" s="121">
        <v>9</v>
      </c>
      <c r="AT3" s="121">
        <v>10</v>
      </c>
      <c r="AU3" s="121">
        <v>11</v>
      </c>
      <c r="AV3" s="121">
        <v>12</v>
      </c>
      <c r="AW3" s="121">
        <v>13</v>
      </c>
      <c r="AX3" s="121">
        <v>14</v>
      </c>
      <c r="AY3" s="121">
        <v>15</v>
      </c>
      <c r="AZ3" s="121">
        <v>16</v>
      </c>
      <c r="BA3" s="121">
        <v>17</v>
      </c>
      <c r="BB3" s="121">
        <v>18</v>
      </c>
      <c r="BC3" s="121">
        <v>19</v>
      </c>
      <c r="BD3" s="121">
        <v>20</v>
      </c>
      <c r="BE3" s="121">
        <v>21</v>
      </c>
      <c r="BF3" s="121">
        <v>22</v>
      </c>
      <c r="BG3" s="121">
        <v>23</v>
      </c>
      <c r="BH3" s="121">
        <v>24</v>
      </c>
      <c r="BI3" s="121">
        <v>25</v>
      </c>
      <c r="BJ3" s="121">
        <v>26</v>
      </c>
      <c r="BK3" s="121">
        <v>27</v>
      </c>
      <c r="BL3" s="121">
        <v>28</v>
      </c>
      <c r="BM3" s="121">
        <v>29</v>
      </c>
      <c r="BN3" s="121">
        <v>30</v>
      </c>
      <c r="BO3" s="121">
        <v>31</v>
      </c>
      <c r="BQ3" s="251"/>
      <c r="BR3" s="7"/>
      <c r="BS3" s="7"/>
      <c r="BT3" s="7"/>
      <c r="IU3" s="16"/>
    </row>
    <row r="4" spans="1:255" ht="11.25" customHeight="1" thickTop="1">
      <c r="B4" s="746"/>
      <c r="C4" s="746"/>
      <c r="D4" s="746"/>
      <c r="E4" s="746"/>
      <c r="F4" s="746"/>
      <c r="G4" s="746"/>
      <c r="H4" s="746"/>
      <c r="I4" s="746"/>
      <c r="J4" s="746"/>
      <c r="K4" s="746"/>
      <c r="L4" s="746"/>
      <c r="M4" s="746"/>
      <c r="N4" s="747"/>
      <c r="O4" s="748"/>
      <c r="P4" s="748"/>
      <c r="Q4" s="748"/>
      <c r="R4" s="748"/>
      <c r="S4" s="19"/>
      <c r="Y4" s="122"/>
      <c r="AA4" s="127" t="s">
        <v>422</v>
      </c>
      <c r="AD4" s="256" t="str">
        <f ca="1">MID(AD3,FIND("]",AD3,1)+1,99)</f>
        <v>06</v>
      </c>
      <c r="AJ4" s="128" t="s">
        <v>372</v>
      </c>
      <c r="AK4" s="121">
        <f t="shared" ref="AK4:BO4" ca="1" si="0">MIN(AK3,$AF$5)</f>
        <v>1</v>
      </c>
      <c r="AL4" s="121">
        <f t="shared" ca="1" si="0"/>
        <v>2</v>
      </c>
      <c r="AM4" s="121">
        <f t="shared" ca="1" si="0"/>
        <v>3</v>
      </c>
      <c r="AN4" s="121">
        <f t="shared" ca="1" si="0"/>
        <v>4</v>
      </c>
      <c r="AO4" s="121">
        <f t="shared" ca="1" si="0"/>
        <v>5</v>
      </c>
      <c r="AP4" s="121">
        <f t="shared" ca="1" si="0"/>
        <v>6</v>
      </c>
      <c r="AQ4" s="121">
        <f t="shared" ca="1" si="0"/>
        <v>7</v>
      </c>
      <c r="AR4" s="121">
        <f t="shared" ca="1" si="0"/>
        <v>8</v>
      </c>
      <c r="AS4" s="121">
        <f t="shared" ca="1" si="0"/>
        <v>9</v>
      </c>
      <c r="AT4" s="121">
        <f t="shared" ca="1" si="0"/>
        <v>10</v>
      </c>
      <c r="AU4" s="121">
        <f t="shared" ca="1" si="0"/>
        <v>11</v>
      </c>
      <c r="AV4" s="121">
        <f t="shared" ca="1" si="0"/>
        <v>12</v>
      </c>
      <c r="AW4" s="121">
        <f t="shared" ca="1" si="0"/>
        <v>13</v>
      </c>
      <c r="AX4" s="121">
        <f t="shared" ca="1" si="0"/>
        <v>14</v>
      </c>
      <c r="AY4" s="121">
        <f t="shared" ca="1" si="0"/>
        <v>15</v>
      </c>
      <c r="AZ4" s="121">
        <f t="shared" ca="1" si="0"/>
        <v>16</v>
      </c>
      <c r="BA4" s="121">
        <f t="shared" ca="1" si="0"/>
        <v>17</v>
      </c>
      <c r="BB4" s="121">
        <f t="shared" ca="1" si="0"/>
        <v>18</v>
      </c>
      <c r="BC4" s="121">
        <f t="shared" ca="1" si="0"/>
        <v>19</v>
      </c>
      <c r="BD4" s="121">
        <f t="shared" ca="1" si="0"/>
        <v>20</v>
      </c>
      <c r="BE4" s="121">
        <f t="shared" ca="1" si="0"/>
        <v>21</v>
      </c>
      <c r="BF4" s="121">
        <f t="shared" ca="1" si="0"/>
        <v>22</v>
      </c>
      <c r="BG4" s="121">
        <f t="shared" ca="1" si="0"/>
        <v>23</v>
      </c>
      <c r="BH4" s="121">
        <f t="shared" ca="1" si="0"/>
        <v>24</v>
      </c>
      <c r="BI4" s="121">
        <f t="shared" ca="1" si="0"/>
        <v>25</v>
      </c>
      <c r="BJ4" s="121">
        <f t="shared" ca="1" si="0"/>
        <v>26</v>
      </c>
      <c r="BK4" s="121">
        <f t="shared" ca="1" si="0"/>
        <v>27</v>
      </c>
      <c r="BL4" s="121">
        <f t="shared" ca="1" si="0"/>
        <v>28</v>
      </c>
      <c r="BM4" s="121">
        <f t="shared" ca="1" si="0"/>
        <v>29</v>
      </c>
      <c r="BN4" s="121">
        <f t="shared" ca="1" si="0"/>
        <v>30</v>
      </c>
      <c r="BO4" s="121">
        <f t="shared" ca="1" si="0"/>
        <v>30</v>
      </c>
      <c r="BQ4" s="251"/>
      <c r="BR4" s="7"/>
      <c r="BS4" s="7"/>
      <c r="BT4" s="7"/>
      <c r="IU4" s="16"/>
    </row>
    <row r="5" spans="1:255" ht="15.75" customHeight="1">
      <c r="B5" s="767" t="str">
        <f ca="1">V17</f>
        <v>juin 2026</v>
      </c>
      <c r="C5" s="768"/>
      <c r="D5" s="768"/>
      <c r="E5" s="768"/>
      <c r="F5" s="768"/>
      <c r="G5" s="768"/>
      <c r="H5" s="769" t="str">
        <f>'NTS ONLY_set_year'!$E$136</f>
        <v>Saisir les données dans les cellules jaunes ou ambres.</v>
      </c>
      <c r="I5" s="770"/>
      <c r="J5" s="771"/>
      <c r="K5" s="772" t="str">
        <f>'NTS ONLY_set_year'!E46</f>
        <v>Remplir ce sommaire à la fin de chaque mois :</v>
      </c>
      <c r="L5" s="773"/>
      <c r="M5" s="773"/>
      <c r="N5" s="773"/>
      <c r="O5" s="773"/>
      <c r="P5" s="773"/>
      <c r="Q5" s="773"/>
      <c r="R5" s="774"/>
      <c r="S5" s="35"/>
      <c r="U5" s="257">
        <f ca="1">$AJ$5</f>
        <v>0</v>
      </c>
      <c r="V5" s="258" t="str">
        <f>'NTS ONLY_set_year'!E54</f>
        <v>Jours de disponibilité du véhicule pour affaires</v>
      </c>
      <c r="W5" s="259"/>
      <c r="X5" s="259"/>
      <c r="Y5" s="259"/>
      <c r="Z5" s="259"/>
      <c r="AC5" s="260" t="s">
        <v>376</v>
      </c>
      <c r="AD5" s="261" t="s">
        <v>423</v>
      </c>
      <c r="AE5" s="144" t="str">
        <f ca="1">TEXT(DATE($AE$7,$AD$6,1),"Mmmm")</f>
        <v>June</v>
      </c>
      <c r="AF5" s="136">
        <f ca="1">DATE(AE7,AD6+1,1)-DATE(AE7,AD6,1)</f>
        <v>30</v>
      </c>
      <c r="AG5" s="178" t="str">
        <f ca="1">'NTS ONLY_set_year'!E104&amp;$AF$5&amp;'NTS ONLY_set_year'!E7</f>
        <v>◄ ◄ ◄ Seulement 30 jours dans le mois</v>
      </c>
      <c r="AH5" s="168"/>
      <c r="AI5" s="178"/>
      <c r="AJ5" s="128">
        <f ca="1">SUM(OFFSET(AK5,,,,$AF$5))</f>
        <v>0</v>
      </c>
      <c r="AK5" s="121">
        <f t="shared" ref="AK5:BO5" ca="1" si="1">IF(ISERROR(MATCH($AH$8&amp;AK4,$AH:$AH,0)),0,1)</f>
        <v>0</v>
      </c>
      <c r="AL5" s="121">
        <f t="shared" ca="1" si="1"/>
        <v>0</v>
      </c>
      <c r="AM5" s="121">
        <f t="shared" ca="1" si="1"/>
        <v>0</v>
      </c>
      <c r="AN5" s="121">
        <f t="shared" ca="1" si="1"/>
        <v>0</v>
      </c>
      <c r="AO5" s="121">
        <f t="shared" ca="1" si="1"/>
        <v>0</v>
      </c>
      <c r="AP5" s="121">
        <f t="shared" ca="1" si="1"/>
        <v>0</v>
      </c>
      <c r="AQ5" s="121">
        <f t="shared" ca="1" si="1"/>
        <v>0</v>
      </c>
      <c r="AR5" s="121">
        <f t="shared" ca="1" si="1"/>
        <v>0</v>
      </c>
      <c r="AS5" s="121">
        <f t="shared" ca="1" si="1"/>
        <v>0</v>
      </c>
      <c r="AT5" s="121">
        <f t="shared" ca="1" si="1"/>
        <v>0</v>
      </c>
      <c r="AU5" s="121">
        <f t="shared" ca="1" si="1"/>
        <v>0</v>
      </c>
      <c r="AV5" s="121">
        <f t="shared" ca="1" si="1"/>
        <v>0</v>
      </c>
      <c r="AW5" s="121">
        <f t="shared" ca="1" si="1"/>
        <v>0</v>
      </c>
      <c r="AX5" s="121">
        <f t="shared" ca="1" si="1"/>
        <v>0</v>
      </c>
      <c r="AY5" s="121">
        <f t="shared" ca="1" si="1"/>
        <v>0</v>
      </c>
      <c r="AZ5" s="121">
        <f t="shared" ca="1" si="1"/>
        <v>0</v>
      </c>
      <c r="BA5" s="121">
        <f t="shared" ca="1" si="1"/>
        <v>0</v>
      </c>
      <c r="BB5" s="121">
        <f t="shared" ca="1" si="1"/>
        <v>0</v>
      </c>
      <c r="BC5" s="121">
        <f t="shared" ca="1" si="1"/>
        <v>0</v>
      </c>
      <c r="BD5" s="121">
        <f t="shared" ca="1" si="1"/>
        <v>0</v>
      </c>
      <c r="BE5" s="121">
        <f t="shared" ca="1" si="1"/>
        <v>0</v>
      </c>
      <c r="BF5" s="121">
        <f t="shared" ca="1" si="1"/>
        <v>0</v>
      </c>
      <c r="BG5" s="121">
        <f t="shared" ca="1" si="1"/>
        <v>0</v>
      </c>
      <c r="BH5" s="121">
        <f t="shared" ca="1" si="1"/>
        <v>0</v>
      </c>
      <c r="BI5" s="121">
        <f t="shared" ca="1" si="1"/>
        <v>0</v>
      </c>
      <c r="BJ5" s="121">
        <f t="shared" ca="1" si="1"/>
        <v>0</v>
      </c>
      <c r="BK5" s="121">
        <f t="shared" ca="1" si="1"/>
        <v>0</v>
      </c>
      <c r="BL5" s="121">
        <f t="shared" ca="1" si="1"/>
        <v>0</v>
      </c>
      <c r="BM5" s="121">
        <f t="shared" ca="1" si="1"/>
        <v>0</v>
      </c>
      <c r="BN5" s="121">
        <f t="shared" ca="1" si="1"/>
        <v>0</v>
      </c>
      <c r="BO5" s="121">
        <f t="shared" ca="1" si="1"/>
        <v>0</v>
      </c>
      <c r="BQ5" s="251"/>
      <c r="BR5" s="7"/>
      <c r="BS5" s="7"/>
      <c r="BT5" s="7"/>
      <c r="IU5" s="16"/>
    </row>
    <row r="6" spans="1:255" ht="15" customHeight="1">
      <c r="B6" s="602">
        <f ca="1">IF(AD6=1,"",BO15)</f>
        <v>0</v>
      </c>
      <c r="C6" s="577" t="str">
        <f ca="1">IF(AD6=1,"","= "&amp;'NTS ONLY_set_year'!$E$102)</f>
        <v>= Lecture du compteur à la fin du mois précédent</v>
      </c>
      <c r="D6" s="602"/>
      <c r="E6" s="603"/>
      <c r="F6" s="471"/>
      <c r="G6" s="471"/>
      <c r="H6" s="604" t="str">
        <f>'NTS ONLY_set_year'!$E$87</f>
        <v>km dans le mois</v>
      </c>
      <c r="I6" s="58" t="str">
        <f>'NTS ONLY_set_year'!$E$24</f>
        <v>km d'affaires</v>
      </c>
      <c r="J6" s="59" t="str">
        <f>'NTS ONLY_set_year'!$E$110</f>
        <v>km personnel</v>
      </c>
      <c r="K6" s="775" t="str">
        <f>'NTS ONLY_set_year'!$E$92</f>
        <v>Dépenses diverses</v>
      </c>
      <c r="L6" s="697"/>
      <c r="M6" s="697"/>
      <c r="N6" s="698"/>
      <c r="O6" s="776" t="str">
        <f>'NTS ONLY_set_year'!$E$17</f>
        <v>Montants reçus</v>
      </c>
      <c r="P6" s="777"/>
      <c r="Q6" s="777"/>
      <c r="R6" s="778"/>
      <c r="S6" s="35"/>
      <c r="U6" s="262">
        <f ca="1">$AF$5-$AJ$6</f>
        <v>30</v>
      </c>
      <c r="V6" s="263" t="str">
        <f>'NTS ONLY_set_year'!E53</f>
        <v>Jours de disponibilité du véhicule à des fins personnelles</v>
      </c>
      <c r="W6" s="264"/>
      <c r="X6" s="264"/>
      <c r="Y6" s="264"/>
      <c r="Z6" s="264"/>
      <c r="AA6" s="265">
        <f>$D$7</f>
        <v>0</v>
      </c>
      <c r="AB6" s="141"/>
      <c r="AC6" s="142"/>
      <c r="AD6" s="266">
        <f ca="1">MATCH(AD4,'Annual Summary_Sommaire annuel'!$Y$24:$Y$35,0)</f>
        <v>6</v>
      </c>
      <c r="AE6" s="144" t="str">
        <f ca="1">TEXT(DATE($AE$7,$AD$6,1),"Mmmm, YYYY")</f>
        <v>June, 2026</v>
      </c>
      <c r="AF6" s="145">
        <f ca="1">$AF$5</f>
        <v>30</v>
      </c>
      <c r="AG6" s="178" t="str">
        <f>'NTS ONLY_set_year'!E26</f>
        <v>◄ ◄ ◄ ◄ Ne peut sauter une journée</v>
      </c>
      <c r="AH6" s="168"/>
      <c r="AI6" s="178"/>
      <c r="AJ6" s="267"/>
      <c r="BQ6" s="251"/>
      <c r="BR6" s="7"/>
      <c r="BS6" s="7"/>
      <c r="BT6" s="7"/>
      <c r="IU6" s="16"/>
    </row>
    <row r="7" spans="1:255" ht="15.75" customHeight="1" thickBot="1">
      <c r="B7" s="779" t="str">
        <f>'NTS ONLY_set_year'!$E$101</f>
        <v xml:space="preserve">Compteur de kilométrage : </v>
      </c>
      <c r="C7" s="780"/>
      <c r="D7" s="780"/>
      <c r="E7" s="781"/>
      <c r="F7" s="781"/>
      <c r="G7" s="387"/>
      <c r="H7" s="605" t="str">
        <f>IF($BE$13=0,"- -",$BE$13)</f>
        <v>- -</v>
      </c>
      <c r="I7" s="52">
        <f ca="1">M19</f>
        <v>0</v>
      </c>
      <c r="J7" s="61" t="str">
        <f>IF($BE$13=0,"- -",IF($H$7-$M$19&lt;0,"- -",$H$7-$M$19))</f>
        <v>- -</v>
      </c>
      <c r="K7" s="21"/>
      <c r="L7" s="64"/>
      <c r="M7" s="65" t="str">
        <f>'NTS ONLY_set_year'!$E$91</f>
        <v>Frais de location</v>
      </c>
      <c r="N7" s="606"/>
      <c r="O7" s="607"/>
      <c r="P7" s="66" t="str">
        <f>'NTS ONLY_set_year'!$E$15</f>
        <v>Allocations reçues de l'employeur</v>
      </c>
      <c r="Q7" s="33"/>
      <c r="R7" s="93"/>
      <c r="S7" s="35"/>
      <c r="U7" s="268">
        <f ca="1">$AF$5-$AJ$2</f>
        <v>30</v>
      </c>
      <c r="V7" s="269" t="str">
        <f>'NTS ONLY_set_year'!E51</f>
        <v>Jours de disponibilité du véhicule dans le mois pour affaires ou à des fins personnelles</v>
      </c>
      <c r="W7" s="270"/>
      <c r="X7" s="270"/>
      <c r="Y7" s="270"/>
      <c r="Z7" s="270"/>
      <c r="AA7" s="271"/>
      <c r="AB7" s="272"/>
      <c r="AC7" s="273" t="e">
        <f>AND(ISNUMBER(B$7),OR(B$7&lt;0,INT(B$7)&lt;&gt;B$7))</f>
        <v>#VALUE!</v>
      </c>
      <c r="AD7" s="274"/>
      <c r="AE7" s="275">
        <f>Year_four_digits</f>
        <v>2026</v>
      </c>
      <c r="AG7" s="178" t="str">
        <f>'NTS ONLY_set_year'!E50</f>
        <v>◄ ◄ ◄ ◄ Jours non ordonnés</v>
      </c>
      <c r="AH7" s="168"/>
      <c r="AI7" s="178"/>
      <c r="AJ7" s="276"/>
      <c r="AL7" s="121" t="str">
        <f>'NTS ONLY_set_year'!E38</f>
        <v>Vérifier les cellules foncées</v>
      </c>
      <c r="AM7" s="121" t="str">
        <f>'NTS ONLY_set_year'!$E$127</f>
        <v>Totaux</v>
      </c>
      <c r="AQ7" s="181">
        <f ca="1">IF(AND(MAX(OFFSET(AQ$20,0,0,$AE$18))&lt;2,M19=0),0,9)</f>
        <v>0</v>
      </c>
      <c r="AR7" s="277" t="s">
        <v>424</v>
      </c>
      <c r="AS7" s="278"/>
      <c r="AT7" s="278"/>
      <c r="AU7" s="278"/>
      <c r="BO7" s="156" t="s">
        <v>425</v>
      </c>
      <c r="BQ7" s="251"/>
      <c r="BR7" s="7"/>
      <c r="BS7" s="7"/>
      <c r="BT7" s="7"/>
      <c r="IU7" s="16"/>
    </row>
    <row r="8" spans="1:255" ht="13.5" customHeight="1" thickTop="1" thickBot="1">
      <c r="A8">
        <v>150</v>
      </c>
      <c r="B8" s="67"/>
      <c r="C8" s="785" t="str">
        <f>'NTS ONLY_set_year'!$E$27</f>
        <v>Automobile 1</v>
      </c>
      <c r="D8" s="786"/>
      <c r="E8" s="787" t="str">
        <f>'NTS ONLY_set_year'!$E$28</f>
        <v>Automobile 2</v>
      </c>
      <c r="F8" s="787"/>
      <c r="G8" s="521" t="str">
        <f>'NTS ONLY_set_year'!$E$29</f>
        <v>Automobile 3</v>
      </c>
      <c r="H8" s="521" t="str">
        <f>'NTS ONLY_set_year'!$E$30</f>
        <v>Automobile 4</v>
      </c>
      <c r="I8" s="521" t="str">
        <f>'NTS ONLY_set_year'!$E$31</f>
        <v>Automobile 5</v>
      </c>
      <c r="J8" s="522" t="str">
        <f>'NTS ONLY_set_year'!$E$32</f>
        <v>Automobile 6</v>
      </c>
      <c r="K8" s="21"/>
      <c r="L8" s="64"/>
      <c r="M8" s="64" t="str">
        <f>'NTS ONLY_set_year'!$E$81</f>
        <v>Frais d'intérêt</v>
      </c>
      <c r="N8" s="608"/>
      <c r="O8" s="609"/>
      <c r="P8" s="33" t="str">
        <f>'NTS ONLY_set_year'!$E$114</f>
        <v>Remboursements de l'employeur</v>
      </c>
      <c r="Q8" s="33"/>
      <c r="R8" s="93"/>
      <c r="S8" s="35"/>
      <c r="Y8" s="122"/>
      <c r="AB8" s="120"/>
      <c r="AE8" s="279">
        <f ca="1">DATE($AE$7,$AD$6,0)</f>
        <v>46173</v>
      </c>
      <c r="AG8" s="178"/>
      <c r="AH8" s="168"/>
      <c r="AI8" s="178"/>
      <c r="AK8" s="680" t="s">
        <v>389</v>
      </c>
      <c r="AM8" s="680" t="s">
        <v>390</v>
      </c>
      <c r="AP8" s="643" t="s">
        <v>391</v>
      </c>
      <c r="AQ8" s="680" t="s">
        <v>392</v>
      </c>
      <c r="AR8" s="680" t="s">
        <v>397</v>
      </c>
      <c r="AS8" s="680"/>
      <c r="AT8" s="680"/>
      <c r="AU8" s="280" t="s">
        <v>426</v>
      </c>
      <c r="AV8" s="281"/>
      <c r="AW8" s="281"/>
      <c r="AX8" s="281"/>
      <c r="AY8" s="281"/>
      <c r="AZ8" s="281"/>
      <c r="BA8" s="281"/>
      <c r="BB8" s="281"/>
      <c r="BC8" s="281"/>
      <c r="BD8" s="281"/>
      <c r="BF8" s="282" t="str">
        <f>IF(COUNT(BF11:BN11)=0,"- -",IF(ISNUMBER(BF10),BF10,BJ8))</f>
        <v>- -</v>
      </c>
      <c r="BG8" s="160" t="s">
        <v>427</v>
      </c>
      <c r="BJ8" s="283">
        <f>IF(ISNUMBER(BJ10),BJ10,BK8)</f>
        <v>0</v>
      </c>
      <c r="BK8" s="284">
        <f>IF(ISNUMBER(BK10),BK10,BL8)</f>
        <v>0</v>
      </c>
      <c r="BL8" s="284">
        <f>IF(ISNUMBER(BL10),BL10,BM8)</f>
        <v>0</v>
      </c>
      <c r="BM8" s="284">
        <f>IF(ISNUMBER(BM10),BM10,BN8)</f>
        <v>0</v>
      </c>
      <c r="BN8" s="285">
        <f>IF(ISNUMBER(BN10),BN10,BO8)</f>
        <v>0</v>
      </c>
      <c r="BO8" s="156"/>
      <c r="BQ8" s="251"/>
      <c r="BR8" s="7"/>
      <c r="BS8" s="7"/>
      <c r="BT8" s="7"/>
      <c r="IU8" s="16"/>
    </row>
    <row r="9" spans="1:255" ht="12.75" customHeight="1" thickBot="1">
      <c r="B9" s="60" t="str">
        <f>'NTS ONLY_set_year'!$E$121</f>
        <v>Début</v>
      </c>
      <c r="C9" s="782"/>
      <c r="D9" s="744"/>
      <c r="E9" s="744"/>
      <c r="F9" s="744"/>
      <c r="G9" s="610"/>
      <c r="H9" s="610"/>
      <c r="I9" s="610"/>
      <c r="J9" s="611"/>
      <c r="K9" s="21"/>
      <c r="L9" s="64"/>
      <c r="M9" s="64" t="str">
        <f>'NTS ONLY_set_year'!$E$79</f>
        <v>Assurance</v>
      </c>
      <c r="N9" s="612"/>
      <c r="O9" s="613"/>
      <c r="P9" s="33" t="str">
        <f>'NTS ONLY_set_year'!$E$71</f>
        <v>Remboursement de la taxe d'accise sur l'essence</v>
      </c>
      <c r="Q9" s="33"/>
      <c r="R9" s="93"/>
      <c r="S9" s="35"/>
      <c r="X9" s="395" t="str">
        <f ca="1">INDEX('Annual Summary_Sommaire annuel'!$AH$24:$AH$35,$AD$6)</f>
        <v/>
      </c>
      <c r="Y9" s="287"/>
      <c r="Z9" s="286"/>
      <c r="AA9" s="286"/>
      <c r="AB9" s="286"/>
      <c r="AC9" s="286"/>
      <c r="AD9" s="286"/>
      <c r="AK9" s="688"/>
      <c r="AM9" s="688"/>
      <c r="AP9" s="643"/>
      <c r="AQ9" s="688"/>
      <c r="AR9" s="688"/>
      <c r="AS9" s="688"/>
      <c r="AT9" s="688"/>
      <c r="AU9" s="280" t="str">
        <f ca="1">IF(AND(AU11&gt;0,OR(BM18&lt;&gt;1,MIN(AP18:AP19)&lt;999,MIN(M20:M194)&lt;0,MIN(K20:K194)&lt;BO10,MAX(L20:L194)&gt;BO11)),AL7,AM7)</f>
        <v>Totaux</v>
      </c>
      <c r="AV9" s="281"/>
      <c r="AW9" s="281"/>
      <c r="AX9" s="281"/>
      <c r="AY9" s="281"/>
      <c r="AZ9" s="281"/>
      <c r="BA9" s="281"/>
      <c r="BB9" s="281"/>
      <c r="BC9" s="281"/>
      <c r="BD9" s="281"/>
      <c r="BF9" s="288" t="s">
        <v>58</v>
      </c>
      <c r="BG9" s="289"/>
      <c r="BH9" s="289"/>
      <c r="BI9" s="290"/>
      <c r="BJ9" s="291" t="s">
        <v>60</v>
      </c>
      <c r="BK9" s="289" t="s">
        <v>62</v>
      </c>
      <c r="BL9" s="289" t="s">
        <v>64</v>
      </c>
      <c r="BM9" s="289" t="s">
        <v>66</v>
      </c>
      <c r="BN9" s="292" t="s">
        <v>68</v>
      </c>
      <c r="BO9" s="156" t="s">
        <v>428</v>
      </c>
      <c r="BQ9" s="251"/>
      <c r="BR9" s="7"/>
      <c r="BS9" s="7"/>
      <c r="BT9" s="7"/>
      <c r="IU9" s="16"/>
    </row>
    <row r="10" spans="1:255" ht="13.5" customHeight="1" thickBot="1">
      <c r="B10" s="60" t="str">
        <f>'NTS ONLY_set_year'!$E$59</f>
        <v>Fin</v>
      </c>
      <c r="C10" s="782"/>
      <c r="D10" s="744"/>
      <c r="E10" s="744"/>
      <c r="F10" s="744"/>
      <c r="G10" s="610"/>
      <c r="H10" s="610"/>
      <c r="I10" s="610"/>
      <c r="J10" s="611"/>
      <c r="K10" s="21"/>
      <c r="L10" s="64"/>
      <c r="M10" s="64" t="str">
        <f>'NTS ONLY_set_year'!$E$12</f>
        <v>Réparations accident (personnel)</v>
      </c>
      <c r="N10" s="608"/>
      <c r="O10" s="609"/>
      <c r="P10" s="33" t="str">
        <f>'NTS ONLY_set_year'!$E$72</f>
        <v>Remboursement de la TPS/TVH reçue</v>
      </c>
      <c r="Q10" s="33"/>
      <c r="R10" s="93"/>
      <c r="S10" s="35"/>
      <c r="X10" s="395" t="str">
        <f ca="1">INDEX('Annual Summary_Sommaire annuel'!$AL$24:$AL$35,$AD$6)</f>
        <v/>
      </c>
      <c r="Y10" s="127"/>
      <c r="Z10" s="127"/>
      <c r="AA10" s="286"/>
      <c r="AB10" s="286"/>
      <c r="AC10" s="286"/>
      <c r="AD10" s="286"/>
      <c r="AF10" s="169"/>
      <c r="AG10" s="173"/>
      <c r="AH10" s="174"/>
      <c r="AI10" s="169"/>
      <c r="AK10" s="688"/>
      <c r="AL10" s="174"/>
      <c r="AM10" s="688"/>
      <c r="AN10" s="174"/>
      <c r="AO10" s="174"/>
      <c r="AP10" s="643"/>
      <c r="AQ10" s="688"/>
      <c r="AR10" s="688"/>
      <c r="AS10" s="688"/>
      <c r="AT10" s="688"/>
      <c r="AU10" s="293">
        <f ca="1">IF(OR(MIN(AP18:AP19)&lt;999,MIN(M20:M194)&lt;0,BM18&lt;&gt;1),1,0)</f>
        <v>0</v>
      </c>
      <c r="AV10" s="293"/>
      <c r="AW10" s="293"/>
      <c r="AX10" s="293"/>
      <c r="AY10" s="293"/>
      <c r="AZ10" s="293"/>
      <c r="BA10" s="293"/>
      <c r="BB10" s="293"/>
      <c r="BC10" s="293"/>
      <c r="BD10" s="293"/>
      <c r="BE10" s="405" t="s">
        <v>229</v>
      </c>
      <c r="BF10" s="294" t="str">
        <f>IF(AND(ISNUMBER(C9),C9&gt;0),C9,"- -")</f>
        <v>- -</v>
      </c>
      <c r="BG10" s="295"/>
      <c r="BH10" s="295"/>
      <c r="BI10" s="296"/>
      <c r="BJ10" s="297" t="str">
        <f>IF(AND(ISNUMBER(E9),E9&gt;0),E9,"- -")</f>
        <v>- -</v>
      </c>
      <c r="BK10" s="298" t="str">
        <f t="shared" ref="BK10:BN11" si="2">IF(AND(ISNUMBER(G9),G9&gt;0),G9,"- -")</f>
        <v>- -</v>
      </c>
      <c r="BL10" s="298" t="str">
        <f t="shared" si="2"/>
        <v>- -</v>
      </c>
      <c r="BM10" s="298" t="str">
        <f t="shared" si="2"/>
        <v>- -</v>
      </c>
      <c r="BN10" s="299" t="str">
        <f t="shared" si="2"/>
        <v>- -</v>
      </c>
      <c r="BO10" s="406">
        <f>MIN(BF10,BJ10:BN10)</f>
        <v>0</v>
      </c>
      <c r="BQ10" s="300"/>
      <c r="BR10" s="8"/>
      <c r="BS10" s="8"/>
      <c r="BT10" s="8"/>
      <c r="IU10" s="16"/>
    </row>
    <row r="11" spans="1:255" ht="14.25" customHeight="1" thickBot="1">
      <c r="B11" s="71"/>
      <c r="C11" s="751"/>
      <c r="D11" s="752"/>
      <c r="E11" s="752"/>
      <c r="F11" s="752"/>
      <c r="G11" s="752"/>
      <c r="H11" s="752"/>
      <c r="I11" s="752"/>
      <c r="J11" s="753"/>
      <c r="K11" s="92"/>
      <c r="L11" s="64"/>
      <c r="M11" s="64" t="str">
        <f>'NTS ONLY_set_year'!$E$11</f>
        <v>Réparations accident (affaires)</v>
      </c>
      <c r="N11" s="533"/>
      <c r="O11" s="533"/>
      <c r="P11" s="528" t="str">
        <f>'NTS ONLY_set_year'!$E$164</f>
        <v>Remboursement de la TVQ reçue</v>
      </c>
      <c r="Q11" s="33"/>
      <c r="R11" s="93"/>
      <c r="S11" s="35"/>
      <c r="X11" s="395" t="str">
        <f ca="1">INDEX('Annual Summary_Sommaire annuel'!$AM$24:$AM$35,AD6)</f>
        <v/>
      </c>
      <c r="Y11" s="302"/>
      <c r="Z11" s="302"/>
      <c r="AA11" s="301"/>
      <c r="AB11" s="301"/>
      <c r="AC11" s="301"/>
      <c r="AD11" s="301"/>
      <c r="AG11" s="169"/>
      <c r="AH11" s="174"/>
      <c r="AI11" s="169"/>
      <c r="AK11" s="688"/>
      <c r="AL11" s="174"/>
      <c r="AM11" s="688"/>
      <c r="AN11" s="174"/>
      <c r="AO11" s="174"/>
      <c r="AP11" s="643"/>
      <c r="AQ11" s="688"/>
      <c r="AR11" s="688"/>
      <c r="AS11" s="688"/>
      <c r="AT11" s="688"/>
      <c r="AU11" s="345">
        <f>COUNT(K20:L194)</f>
        <v>0</v>
      </c>
      <c r="AV11" s="404" t="s">
        <v>429</v>
      </c>
      <c r="AW11" s="345"/>
      <c r="AX11" s="174"/>
      <c r="AY11" s="174"/>
      <c r="AZ11" s="174"/>
      <c r="BA11" s="174"/>
      <c r="BB11" s="174"/>
      <c r="BC11" s="174"/>
      <c r="BD11" s="174"/>
      <c r="BE11" s="174" t="s">
        <v>116</v>
      </c>
      <c r="BF11" s="298" t="str">
        <f>IF(AND(ISNUMBER(C10),C10&gt;0),C10,"- -")</f>
        <v>- -</v>
      </c>
      <c r="BG11" s="295"/>
      <c r="BH11" s="295"/>
      <c r="BI11" s="296"/>
      <c r="BJ11" s="297" t="str">
        <f>IF(AND(ISNUMBER(E10),E10&gt;0),E10,"- -")</f>
        <v>- -</v>
      </c>
      <c r="BK11" s="298" t="str">
        <f t="shared" si="2"/>
        <v>- -</v>
      </c>
      <c r="BL11" s="298" t="str">
        <f t="shared" si="2"/>
        <v>- -</v>
      </c>
      <c r="BM11" s="298" t="str">
        <f t="shared" si="2"/>
        <v>- -</v>
      </c>
      <c r="BN11" s="299" t="str">
        <f t="shared" si="2"/>
        <v>- -</v>
      </c>
      <c r="BO11" s="406">
        <f>MAX(BF11,BJ11:BN11)</f>
        <v>0</v>
      </c>
      <c r="BQ11" s="300"/>
      <c r="BR11" s="8"/>
      <c r="BS11" s="8"/>
      <c r="BT11" s="8"/>
      <c r="IU11" s="16"/>
    </row>
    <row r="12" spans="1:255" ht="13.5" customHeight="1" thickBot="1">
      <c r="B12" s="71"/>
      <c r="C12" s="754"/>
      <c r="D12" s="755"/>
      <c r="E12" s="755"/>
      <c r="F12" s="755"/>
      <c r="G12" s="755"/>
      <c r="H12" s="755"/>
      <c r="I12" s="755"/>
      <c r="J12" s="756"/>
      <c r="K12" s="21"/>
      <c r="L12" s="64"/>
      <c r="M12" s="64"/>
      <c r="N12" s="64"/>
      <c r="O12" s="609"/>
      <c r="P12" s="33" t="str">
        <f>'NTS ONLY_set_year'!$E$80</f>
        <v>Produit d'assurance</v>
      </c>
      <c r="Q12" s="33"/>
      <c r="R12" s="93"/>
      <c r="S12" s="35"/>
      <c r="X12" s="301"/>
      <c r="Y12" s="302"/>
      <c r="Z12" s="302"/>
      <c r="AA12" s="301"/>
      <c r="AB12" s="301"/>
      <c r="AC12" s="301"/>
      <c r="AD12" s="301"/>
      <c r="AG12" s="169"/>
      <c r="AH12" s="174"/>
      <c r="AI12" s="169"/>
      <c r="AK12" s="688"/>
      <c r="AL12" s="174"/>
      <c r="AM12" s="688"/>
      <c r="AN12" s="174"/>
      <c r="AO12" s="174"/>
      <c r="AP12" s="643"/>
      <c r="AQ12" s="688"/>
      <c r="AR12" s="688"/>
      <c r="AS12" s="688"/>
      <c r="AT12" s="688"/>
      <c r="AU12" s="407">
        <f>MIN(K20:K194)</f>
        <v>0</v>
      </c>
      <c r="AV12" s="408" t="s">
        <v>430</v>
      </c>
      <c r="AW12" s="409"/>
      <c r="AX12" s="174"/>
      <c r="AY12" s="174"/>
      <c r="AZ12" s="174"/>
      <c r="BA12" s="174"/>
      <c r="BB12" s="174"/>
      <c r="BC12" s="174"/>
      <c r="BD12" s="174"/>
      <c r="BE12" s="174"/>
      <c r="BF12" s="303"/>
      <c r="BG12" s="304"/>
      <c r="BH12" s="304"/>
      <c r="BI12" s="305"/>
      <c r="BJ12" s="306"/>
      <c r="BK12" s="303"/>
      <c r="BL12" s="303"/>
      <c r="BM12" s="303"/>
      <c r="BN12" s="307"/>
      <c r="BO12" s="174"/>
      <c r="BQ12" s="300"/>
      <c r="BR12" s="8"/>
      <c r="BS12" s="8"/>
      <c r="BT12" s="8"/>
      <c r="IU12" s="16"/>
    </row>
    <row r="13" spans="1:255" ht="12" customHeight="1" thickTop="1">
      <c r="B13" s="614">
        <f ca="1">IF($X$16=$X$14,"",$U$7)</f>
        <v>30</v>
      </c>
      <c r="C13" s="800" t="str">
        <f>IF($X$16=$X$14,"",$V$7)</f>
        <v>Jours de disponibilité du véhicule dans le mois pour affaires ou à des fins personnelles</v>
      </c>
      <c r="D13" s="664"/>
      <c r="E13" s="664"/>
      <c r="F13" s="801"/>
      <c r="G13" s="788" t="str">
        <f>'NTS ONLY_set_year'!$E$119</f>
        <v>Notes
spéciales :</v>
      </c>
      <c r="H13" s="757"/>
      <c r="I13" s="758"/>
      <c r="J13" s="758"/>
      <c r="K13" s="758"/>
      <c r="L13" s="758"/>
      <c r="M13" s="758"/>
      <c r="N13" s="758"/>
      <c r="O13" s="758"/>
      <c r="P13" s="758"/>
      <c r="Q13" s="758"/>
      <c r="R13" s="759"/>
      <c r="X13" s="308" t="str">
        <f>'Annual Summary_Sommaire annuel'!V4</f>
        <v>Québec</v>
      </c>
      <c r="Y13" s="472" t="s">
        <v>431</v>
      </c>
      <c r="Z13" s="517">
        <f>MAX(D20:D194)</f>
        <v>1</v>
      </c>
      <c r="AA13" s="518" t="str">
        <f ca="1">IF(Z13&gt;=Z16,"Last day entered","More days to come")</f>
        <v>More days to come</v>
      </c>
      <c r="AB13" s="309"/>
      <c r="AC13" s="310"/>
      <c r="AD13" s="310"/>
      <c r="AG13" s="169"/>
      <c r="AH13" s="174"/>
      <c r="AI13" s="169"/>
      <c r="AJ13" s="808" t="s">
        <v>432</v>
      </c>
      <c r="AK13" s="688"/>
      <c r="AL13" s="174"/>
      <c r="AM13" s="688"/>
      <c r="AN13" s="174"/>
      <c r="AO13" s="174"/>
      <c r="AP13" s="643"/>
      <c r="AQ13" s="688"/>
      <c r="AR13" s="688"/>
      <c r="AS13" s="688"/>
      <c r="AT13" s="688"/>
      <c r="AU13" s="410">
        <f>MAX(L20:L194)</f>
        <v>0</v>
      </c>
      <c r="AV13" s="408" t="s">
        <v>433</v>
      </c>
      <c r="AW13" s="409"/>
      <c r="AX13" s="174"/>
      <c r="AY13" s="174"/>
      <c r="AZ13" s="174"/>
      <c r="BA13" s="174"/>
      <c r="BB13" s="174"/>
      <c r="BC13" s="174"/>
      <c r="BD13" s="174"/>
      <c r="BE13" s="311">
        <f>ROUND(SUM(BF13:BN13),1)</f>
        <v>0</v>
      </c>
      <c r="BF13" s="312">
        <f>IF(ISNUMBER(MAX(0,BF11-BF10)),MAX(0,BF11-BF10),0)</f>
        <v>0</v>
      </c>
      <c r="BG13" s="313"/>
      <c r="BH13" s="313"/>
      <c r="BI13" s="313"/>
      <c r="BJ13" s="314">
        <f>IF(ISNUMBER(MAX(0,BJ11-BJ10)),MAX(0,BJ11-BJ10),0)</f>
        <v>0</v>
      </c>
      <c r="BK13" s="315">
        <f>IF(ISNUMBER(MAX(0,BK11-BK10)),MAX(0,BK11-BK10),0)</f>
        <v>0</v>
      </c>
      <c r="BL13" s="315">
        <f>IF(ISNUMBER(MAX(0,BL11-BL10)),MAX(0,BL11-BL10),0)</f>
        <v>0</v>
      </c>
      <c r="BM13" s="315">
        <f>IF(ISNUMBER(MAX(0,BM11-BM10)),MAX(0,BM11-BM10),0)</f>
        <v>0</v>
      </c>
      <c r="BN13" s="316">
        <f>IF(ISNUMBER(MAX(0,BN11-BN10)),MAX(0,BN11-BN10),0)</f>
        <v>0</v>
      </c>
      <c r="BO13" s="293" t="s">
        <v>408</v>
      </c>
      <c r="BQ13" s="300"/>
      <c r="BR13" s="8"/>
      <c r="BS13" s="8"/>
      <c r="BT13" s="8"/>
      <c r="IU13" s="16"/>
    </row>
    <row r="14" spans="1:255" ht="36" customHeight="1" thickBot="1">
      <c r="B14" s="614"/>
      <c r="C14" s="652"/>
      <c r="D14" s="652"/>
      <c r="E14" s="652"/>
      <c r="F14" s="802"/>
      <c r="G14" s="789"/>
      <c r="H14" s="746"/>
      <c r="I14" s="746"/>
      <c r="J14" s="746"/>
      <c r="K14" s="746"/>
      <c r="L14" s="746"/>
      <c r="M14" s="746"/>
      <c r="N14" s="746"/>
      <c r="O14" s="746"/>
      <c r="P14" s="746"/>
      <c r="Q14" s="746"/>
      <c r="R14" s="760"/>
      <c r="X14" s="317" t="str">
        <f>'Annual Summary_Sommaire annuel'!V5</f>
        <v>Rest of Canada</v>
      </c>
      <c r="Y14" s="472" t="str">
        <f>'NTS ONLY_set_year'!$B$3</f>
        <v>f</v>
      </c>
      <c r="Z14" s="519" t="s">
        <v>434</v>
      </c>
      <c r="AA14" s="520"/>
      <c r="AB14" s="318"/>
      <c r="AC14" s="319"/>
      <c r="AD14" s="319"/>
      <c r="AG14" s="169"/>
      <c r="AH14" s="174"/>
      <c r="AI14" s="169"/>
      <c r="AJ14" s="809"/>
      <c r="AK14" s="688"/>
      <c r="AL14" s="174"/>
      <c r="AM14" s="688"/>
      <c r="AN14" s="174"/>
      <c r="AO14" s="174"/>
      <c r="AP14" s="643"/>
      <c r="AQ14" s="688"/>
      <c r="AR14" s="688"/>
      <c r="AS14" s="688"/>
      <c r="AT14" s="688"/>
      <c r="AU14" s="174"/>
      <c r="AV14" s="174"/>
      <c r="AW14" s="174"/>
      <c r="AX14" s="174"/>
      <c r="AY14" s="174"/>
      <c r="AZ14" s="174"/>
      <c r="BA14" s="174"/>
      <c r="BB14" s="174"/>
      <c r="BC14" s="174"/>
      <c r="BD14" s="174"/>
      <c r="BE14" s="311"/>
      <c r="BF14" s="411">
        <f>IF(BF11&lt;BF10,1,0)</f>
        <v>0</v>
      </c>
      <c r="BG14" s="412"/>
      <c r="BH14" s="412"/>
      <c r="BI14" s="412"/>
      <c r="BJ14" s="413">
        <f>IF(BJ11&lt;BJ10,1,0)</f>
        <v>0</v>
      </c>
      <c r="BK14" s="411">
        <f>IF(BK11&lt;BK10,1,0)</f>
        <v>0</v>
      </c>
      <c r="BL14" s="411">
        <f>IF(BL11&lt;BL10,1,0)</f>
        <v>0</v>
      </c>
      <c r="BM14" s="411">
        <f>IF(BM11&lt;BM10,1,0)</f>
        <v>0</v>
      </c>
      <c r="BN14" s="414">
        <f>IF(BN11&lt;BN10,1,0)</f>
        <v>0</v>
      </c>
      <c r="BO14" s="415">
        <f>SUM(BF14:BM14)</f>
        <v>0</v>
      </c>
      <c r="BQ14" s="300"/>
      <c r="BR14" s="8"/>
      <c r="BS14" s="8"/>
      <c r="BT14" s="8"/>
      <c r="IU14" s="16"/>
    </row>
    <row r="15" spans="1:255" ht="12" customHeight="1" thickTop="1" thickBot="1">
      <c r="B15" s="614"/>
      <c r="C15" s="653"/>
      <c r="D15" s="653"/>
      <c r="E15" s="653"/>
      <c r="F15" s="803"/>
      <c r="G15" s="790"/>
      <c r="H15" s="746"/>
      <c r="I15" s="746"/>
      <c r="J15" s="746"/>
      <c r="K15" s="746"/>
      <c r="L15" s="746"/>
      <c r="M15" s="746"/>
      <c r="N15" s="746"/>
      <c r="O15" s="746"/>
      <c r="P15" s="746"/>
      <c r="Q15" s="746"/>
      <c r="R15" s="760"/>
      <c r="X15" s="317"/>
      <c r="Y15" s="175"/>
      <c r="Z15" s="168" t="s">
        <v>396</v>
      </c>
      <c r="AA15" s="320" t="s">
        <v>435</v>
      </c>
      <c r="AB15" s="321" t="s">
        <v>399</v>
      </c>
      <c r="AC15" s="319"/>
      <c r="AD15" s="322"/>
      <c r="AG15" s="169"/>
      <c r="AH15" s="174"/>
      <c r="AI15" s="169"/>
      <c r="AJ15" s="810"/>
      <c r="AK15" s="688"/>
      <c r="AM15" s="688"/>
      <c r="AO15" s="174"/>
      <c r="AP15" s="643"/>
      <c r="AQ15" s="688"/>
      <c r="AR15" s="688"/>
      <c r="AS15" s="688"/>
      <c r="AT15" s="688"/>
      <c r="AU15" s="174"/>
      <c r="AV15" s="174"/>
      <c r="AW15" s="174"/>
      <c r="AX15" s="174"/>
      <c r="AY15" s="174"/>
      <c r="AZ15" s="174"/>
      <c r="BA15" s="174"/>
      <c r="BB15" s="174"/>
      <c r="BC15" s="174"/>
      <c r="BD15" s="174"/>
      <c r="BE15" s="174"/>
      <c r="BF15" s="174"/>
      <c r="BG15" s="174"/>
      <c r="BH15" s="174"/>
      <c r="BI15" s="323" t="str">
        <f>BF11</f>
        <v>- -</v>
      </c>
      <c r="BJ15" s="324" t="str">
        <f>IF(BJ11="- -",BI15,BJ11)</f>
        <v>- -</v>
      </c>
      <c r="BK15" s="174" t="str">
        <f>IF(BK11="- -",BJ15,BK11)</f>
        <v>- -</v>
      </c>
      <c r="BL15" s="174" t="str">
        <f>IF(BL11="- -",BK15,BL11)</f>
        <v>- -</v>
      </c>
      <c r="BM15" s="174" t="str">
        <f>IF(BM11="- -",BL15,BM11)</f>
        <v>- -</v>
      </c>
      <c r="BN15" s="325" t="str">
        <f>IF(COUNT(BF11:BN11)=0,"- -",IF(BN11="- -",BM15,BN11))</f>
        <v>- -</v>
      </c>
      <c r="BO15" s="442">
        <f ca="1">INDEX('Annual Summary_Sommaire annuel'!$AV$27:$BG$27,AD6)</f>
        <v>0</v>
      </c>
      <c r="BQ15" s="300"/>
      <c r="BR15" s="8"/>
      <c r="BS15" s="8"/>
      <c r="BT15" s="8"/>
      <c r="IU15" s="16"/>
    </row>
    <row r="16" spans="1:255" ht="20.100000000000001" customHeight="1" thickTop="1" thickBot="1">
      <c r="B16" s="817" t="str">
        <f ca="1">IF($X$14=$X$16,"",IF($AV$16=$AB$15,'NTS ONLY_set_year'!$E$19&amp;$AE$5,'NTS ONLY_set_year'!$E$75))</f>
        <v>Si l'automobile n'est pas disponible tout le mois, indiquez-le sur le sommaire annuel et non ici.</v>
      </c>
      <c r="C16" s="818"/>
      <c r="D16" s="818"/>
      <c r="E16" s="818"/>
      <c r="F16" s="818"/>
      <c r="G16" s="818"/>
      <c r="H16" s="818"/>
      <c r="I16" s="818"/>
      <c r="J16" s="819"/>
      <c r="K16" s="739" t="str">
        <f>'NTS ONLY_set_year'!$E$22</f>
        <v>Kilomètres d'affaires</v>
      </c>
      <c r="L16" s="740"/>
      <c r="M16" s="741"/>
      <c r="N16" s="742" t="str">
        <f>'NTS ONLY_set_year'!$E$106</f>
        <v>Station-
nement</v>
      </c>
      <c r="O16" s="682" t="str">
        <f>'NTS ONLY_set_year'!$E$70</f>
        <v>Essence
et huile</v>
      </c>
      <c r="P16" s="682" t="str">
        <f>'NTS ONLY_set_year'!$E$97</f>
        <v>Réparations et entretien courants</v>
      </c>
      <c r="Q16" s="682" t="str">
        <f>'NTS ONLY_set_year'!$E$105</f>
        <v>Autres frais d'exploitation (comme l'immatriculation et le permis)</v>
      </c>
      <c r="R16" s="821" t="str">
        <f>'NTS ONLY_set_year'!$E$49&amp;"
"</f>
        <v xml:space="preserve">Jour
</v>
      </c>
      <c r="S16" s="35"/>
      <c r="X16" s="326" t="str">
        <f>'Annual Summary_Sommaire annuel'!$V$7</f>
        <v>Québec</v>
      </c>
      <c r="Y16" s="178"/>
      <c r="Z16" s="180">
        <f ca="1">MAX(Z20:Z194)</f>
        <v>30</v>
      </c>
      <c r="AA16" s="178"/>
      <c r="AB16" s="180"/>
      <c r="AE16" s="327" t="s">
        <v>436</v>
      </c>
      <c r="AJ16" s="328">
        <f ca="1">MAX(AJ20:AJ194)+IF(MAX(D20:D194)&lt;$AF$5,1,0)</f>
        <v>1</v>
      </c>
      <c r="AK16" s="688"/>
      <c r="AM16" s="688"/>
      <c r="AP16" s="643"/>
      <c r="AQ16" s="688"/>
      <c r="AR16" s="688"/>
      <c r="AS16" s="688"/>
      <c r="AT16" s="688"/>
      <c r="AV16" s="329" t="str">
        <f ca="1">IF(TRIM(INDEX('Annual Summary_Sommaire annuel'!C24:C35,AD6))=AB15,AB15,"- -")</f>
        <v>- -</v>
      </c>
      <c r="AW16" s="330" t="s">
        <v>437</v>
      </c>
      <c r="AX16" s="331"/>
      <c r="AY16" s="331"/>
      <c r="AZ16" s="331"/>
      <c r="BA16" s="331"/>
      <c r="BB16" s="331"/>
      <c r="BC16" s="331"/>
      <c r="BD16" s="331"/>
      <c r="BE16" s="331"/>
      <c r="BF16" s="332"/>
      <c r="BJ16" s="333"/>
      <c r="BK16" s="334"/>
      <c r="BL16" s="334" t="s">
        <v>407</v>
      </c>
      <c r="BM16" s="335">
        <f>COUNTIF(BF13:BN13,"&gt;0")</f>
        <v>0</v>
      </c>
      <c r="BN16" s="336" t="s">
        <v>438</v>
      </c>
      <c r="BO16" s="440" t="s">
        <v>439</v>
      </c>
      <c r="BQ16" s="251"/>
      <c r="BR16" s="7"/>
      <c r="BS16" s="7"/>
      <c r="BT16" s="7"/>
      <c r="IU16" s="16"/>
    </row>
    <row r="17" spans="2:255" ht="20.100000000000001" customHeight="1" thickTop="1" thickBot="1">
      <c r="B17" s="77" t="str">
        <f>IF($X$16=X$14,"",'NTS ONLY_set_year'!E140)</f>
        <v>Inscrire un</v>
      </c>
      <c r="C17" s="616" t="str">
        <f>IF($X$16='Annual Summary_Sommaire annuel'!$V$5,"","X")</f>
        <v>X</v>
      </c>
      <c r="D17" s="763" t="str">
        <f>IF($X$16=$X$14,"",'NTS ONLY_set_year'!$E$134)</f>
        <v>pour indiquer (ci-dessous) les jours pour lesquels l'automobile n'est pas disponible.</v>
      </c>
      <c r="E17" s="764"/>
      <c r="F17" s="764"/>
      <c r="G17" s="764"/>
      <c r="H17" s="764"/>
      <c r="I17" s="765"/>
      <c r="J17" s="766"/>
      <c r="K17" s="814" t="str">
        <f>'NTS ONLY_set_year'!$E$98</f>
        <v>(Pas de kilométrage personnel)</v>
      </c>
      <c r="L17" s="815"/>
      <c r="M17" s="816"/>
      <c r="N17" s="742"/>
      <c r="O17" s="682"/>
      <c r="P17" s="682"/>
      <c r="Q17" s="682"/>
      <c r="R17" s="821"/>
      <c r="S17" s="35"/>
      <c r="V17" s="511" t="str">
        <f ca="1">IF(Language="f",V19,V18)</f>
        <v>juin 2026</v>
      </c>
      <c r="W17" s="512"/>
      <c r="X17" s="247" t="s">
        <v>440</v>
      </c>
      <c r="Y17" s="178" t="s">
        <v>441</v>
      </c>
      <c r="Z17" s="180"/>
      <c r="AA17" s="178"/>
      <c r="AB17" s="180"/>
      <c r="AE17" s="327"/>
      <c r="AJ17" s="191"/>
      <c r="AK17" s="688"/>
      <c r="AM17" s="688"/>
      <c r="AP17" s="164"/>
      <c r="AQ17" s="688"/>
      <c r="AR17" s="688"/>
      <c r="AS17" s="688"/>
      <c r="AT17" s="688"/>
      <c r="AU17" s="337" t="s">
        <v>442</v>
      </c>
      <c r="AV17" s="281"/>
      <c r="AW17" s="737" t="s">
        <v>443</v>
      </c>
      <c r="BE17" s="739" t="str">
        <f>'NTS ONLY_set_year'!$E$22</f>
        <v>Kilomètres d'affaires</v>
      </c>
      <c r="BF17" s="740"/>
      <c r="BG17" s="741"/>
      <c r="BH17" s="742" t="str">
        <f>'NTS ONLY_set_year'!$E$106</f>
        <v>Station-
nement</v>
      </c>
      <c r="BI17" s="682" t="str">
        <f>'NTS ONLY_set_year'!$E$70</f>
        <v>Essence
et huile</v>
      </c>
      <c r="BJ17" s="682" t="str">
        <f>'NTS ONLY_set_year'!$E$97</f>
        <v>Réparations et entretien courants</v>
      </c>
      <c r="BK17" s="682" t="str">
        <f>'NTS ONLY_set_year'!$E$105</f>
        <v>Autres frais d'exploitation (comme l'immatriculation et le permis)</v>
      </c>
      <c r="BL17" s="156"/>
      <c r="BM17" s="338"/>
      <c r="BQ17" s="251"/>
      <c r="BR17" s="7"/>
      <c r="BS17" s="7"/>
      <c r="BT17" s="7"/>
      <c r="IU17" s="16"/>
    </row>
    <row r="18" spans="2:255" ht="24.9" customHeight="1">
      <c r="B18" s="69"/>
      <c r="C18" s="783" t="str">
        <f>IF($X$16=$X$14,"","▼
▼
▼")</f>
        <v>▼
▼
▼</v>
      </c>
      <c r="D18" s="791" t="str">
        <f>'NTS ONLY_set_year'!$E$64</f>
        <v>Entrer le jour aussi souvent que nécessaire.
▼</v>
      </c>
      <c r="E18" s="792"/>
      <c r="F18" s="792"/>
      <c r="G18" s="793"/>
      <c r="H18" s="797" t="str">
        <f>'NTS ONLY_set_year'!$E$112</f>
        <v>A. 
But et notes</v>
      </c>
      <c r="I18" s="797" t="str">
        <f>"B.
"&amp;'NTS ONLY_set_year'!E56</f>
        <v>B.
Point de
départ</v>
      </c>
      <c r="J18" s="797" t="str">
        <f>"C.
"&amp;'NTS ONLY_set_year'!E57</f>
        <v>C.
Destination</v>
      </c>
      <c r="K18" s="10" t="str">
        <f>'NTS ONLY_set_year'!$E$121</f>
        <v>Début</v>
      </c>
      <c r="L18" s="11" t="str">
        <f>'NTS ONLY_set_year'!$E$59</f>
        <v>Fin</v>
      </c>
      <c r="M18" s="12" t="str">
        <f>'NTS ONLY_set_year'!$E$58</f>
        <v>Parcouru</v>
      </c>
      <c r="N18" s="743"/>
      <c r="O18" s="683"/>
      <c r="P18" s="617" t="str">
        <f>'NTS ONLY_set_year'!$E$73</f>
        <v>Consigner les détails dans A.</v>
      </c>
      <c r="Q18" s="683"/>
      <c r="R18" s="822"/>
      <c r="S18" s="35"/>
      <c r="U18" s="357" t="str">
        <f ca="1">TEXT($AE$8+1,"Mmmm")</f>
        <v>June</v>
      </c>
      <c r="V18" s="510" t="str">
        <f ca="1">AE6</f>
        <v>June, 2026</v>
      </c>
      <c r="W18" s="510"/>
      <c r="X18" s="247" t="s">
        <v>444</v>
      </c>
      <c r="Y18" s="120" t="s">
        <v>445</v>
      </c>
      <c r="Z18" s="182">
        <f ca="1">COUNTIF($Z$20:$Z$194,$Z$16)</f>
        <v>174</v>
      </c>
      <c r="AB18" s="120"/>
      <c r="AE18" s="339">
        <f ca="1">MATCH(99,AG20:AG1000,0)-1</f>
        <v>1</v>
      </c>
      <c r="AJ18" s="806" t="s">
        <v>446</v>
      </c>
      <c r="AK18" s="688"/>
      <c r="AM18" s="688"/>
      <c r="AP18" s="340">
        <f>MIN(AP20:AP194)</f>
        <v>999</v>
      </c>
      <c r="AQ18" s="688"/>
      <c r="AR18" s="688"/>
      <c r="AS18" s="688"/>
      <c r="AT18" s="688"/>
      <c r="AU18" s="804" t="s">
        <v>384</v>
      </c>
      <c r="AV18" s="804" t="s">
        <v>384</v>
      </c>
      <c r="AW18" s="738"/>
      <c r="BA18" s="382"/>
      <c r="BE18" s="73"/>
      <c r="BF18" s="618"/>
      <c r="BG18" s="615"/>
      <c r="BH18" s="742"/>
      <c r="BI18" s="682"/>
      <c r="BJ18" s="682"/>
      <c r="BK18" s="682"/>
      <c r="BL18" s="341"/>
      <c r="BM18" s="427">
        <f>MAX(BM20:BN194)</f>
        <v>1</v>
      </c>
      <c r="BN18" s="341"/>
      <c r="BQ18" s="251"/>
      <c r="BR18" s="7"/>
      <c r="BS18" s="7"/>
      <c r="BT18" s="7"/>
      <c r="IU18" s="16"/>
    </row>
    <row r="19" spans="2:255" ht="20.25" customHeight="1">
      <c r="B19" s="619" t="str">
        <f>'NTS ONLY_set_year'!$E$115</f>
        <v>Rangée</v>
      </c>
      <c r="C19" s="784"/>
      <c r="D19" s="794"/>
      <c r="E19" s="795"/>
      <c r="F19" s="795"/>
      <c r="G19" s="796"/>
      <c r="H19" s="798"/>
      <c r="I19" s="799"/>
      <c r="J19" s="799"/>
      <c r="K19" s="761" t="str">
        <f>'NTS ONLY_set_year'!$E$127</f>
        <v>Totaux</v>
      </c>
      <c r="L19" s="762"/>
      <c r="M19" s="620">
        <f ca="1">IF(ISERROR(BG20),0,BG20)</f>
        <v>0</v>
      </c>
      <c r="N19" s="70">
        <f ca="1">IF(ISERROR(BH20),0,BH20)</f>
        <v>0</v>
      </c>
      <c r="O19" s="70">
        <f ca="1">IF(ISERROR(BI20),0,BI20)</f>
        <v>0</v>
      </c>
      <c r="P19" s="70">
        <f ca="1">IF(ISERROR(BJ20),0,BJ20)</f>
        <v>0</v>
      </c>
      <c r="Q19" s="70">
        <f ca="1">IF(ISERROR(BK20),0,BK20)</f>
        <v>0</v>
      </c>
      <c r="R19" s="823"/>
      <c r="S19" s="35"/>
      <c r="U19" s="120" t="str">
        <f ca="1">INDEX('NTS ONLY_set_year'!E:E,MATCH(U18,'NTS ONLY_set_year'!C:C,0))</f>
        <v>juin</v>
      </c>
      <c r="V19" s="510" t="str">
        <f ca="1">U19&amp;" "&amp;Year_four_digits</f>
        <v>juin 2026</v>
      </c>
      <c r="W19" s="510"/>
      <c r="X19" s="356" t="s">
        <v>444</v>
      </c>
      <c r="Y19" s="359" t="s">
        <v>447</v>
      </c>
      <c r="Z19" s="182" t="s">
        <v>448</v>
      </c>
      <c r="AB19" s="381" t="s">
        <v>449</v>
      </c>
      <c r="AC19" s="175"/>
      <c r="AD19" s="342" t="s">
        <v>450</v>
      </c>
      <c r="AE19" s="343"/>
      <c r="AF19" s="344"/>
      <c r="AJ19" s="807"/>
      <c r="AK19" s="688"/>
      <c r="AL19" s="345" t="str">
        <f>'NTS ONLY_set_year'!$E$42</f>
        <v>Vérifier DÉBUT</v>
      </c>
      <c r="AM19" s="688"/>
      <c r="AN19" s="345" t="str">
        <f>'NTS ONLY_set_year'!$E$39</f>
        <v>Vérifier FIN</v>
      </c>
      <c r="AP19" s="346">
        <f ca="1">MIN(OFFSET($AP$19,MATCH($AP$18,$AP$20:$AP$195,0)+1,0,600,1))</f>
        <v>999</v>
      </c>
      <c r="AQ19" s="688"/>
      <c r="AR19" s="688"/>
      <c r="AS19" s="688"/>
      <c r="AT19" s="688"/>
      <c r="AU19" s="805"/>
      <c r="AV19" s="805"/>
      <c r="AW19" s="738"/>
      <c r="BE19" s="10" t="str">
        <f>'NTS ONLY_set_year'!$E$121</f>
        <v>Début</v>
      </c>
      <c r="BF19" s="11" t="str">
        <f>'NTS ONLY_set_year'!$E$59</f>
        <v>Fin</v>
      </c>
      <c r="BG19" s="12" t="str">
        <f>'NTS ONLY_set_year'!$E$58</f>
        <v>Parcouru</v>
      </c>
      <c r="BH19" s="743"/>
      <c r="BI19" s="683"/>
      <c r="BJ19" s="683"/>
      <c r="BK19" s="683"/>
      <c r="BM19" s="352" t="s">
        <v>451</v>
      </c>
      <c r="BN19" s="281" t="s">
        <v>452</v>
      </c>
      <c r="BQ19" s="251"/>
      <c r="BR19" s="7"/>
      <c r="BS19" s="7"/>
      <c r="BT19" s="7"/>
      <c r="IU19" s="16"/>
    </row>
    <row r="20" spans="2:255" ht="13.2">
      <c r="B20" s="9">
        <v>1</v>
      </c>
      <c r="C20" s="17"/>
      <c r="D20" s="18">
        <v>1</v>
      </c>
      <c r="E20" s="76"/>
      <c r="F20" s="76"/>
      <c r="G20" s="76" t="str">
        <f ca="1">IF(ISBLANK(D20),IF(AND(ISNUMBER(D19),D19&lt;$AF$5),'NTS ONLY_set_year'!$E$62,"- -"),IF(D20&gt;$AF$5,$AG$5,IF(D20&gt;D19+1,$AG$6,IF(D20&lt;D19,$AG$7,Y20))))</f>
        <v>Lun.  1 juin 2026</v>
      </c>
      <c r="H20" s="529"/>
      <c r="I20" s="530"/>
      <c r="J20" s="531"/>
      <c r="K20" s="555"/>
      <c r="L20" s="556"/>
      <c r="M20" s="557" t="str">
        <f t="shared" ref="M20:M83" si="3">IF(AND(ISNUMBER(K20),ISNUMBER(L20)),L20-K20,"")</f>
        <v/>
      </c>
      <c r="N20" s="558"/>
      <c r="O20" s="559"/>
      <c r="P20" s="560"/>
      <c r="Q20" s="559"/>
      <c r="R20" s="91">
        <v>1</v>
      </c>
      <c r="S20" s="36"/>
      <c r="T20" s="120" t="str">
        <f ca="1">INDEX('NTS ONLY_set_year'!E:E,MATCH(TEXT($X20,"Ddd"),'NTS ONLY_set_year'!C:C,0))</f>
        <v>Lun</v>
      </c>
      <c r="U20" s="186" t="str">
        <f ca="1">$U$19</f>
        <v>juin</v>
      </c>
      <c r="X20" s="347">
        <f ca="1">$AE$8+D20</f>
        <v>46174</v>
      </c>
      <c r="Y20" s="452" t="str">
        <f ca="1">IF(Y14="f",T20&amp;". "&amp;" "&amp;R20&amp;" "&amp;U20&amp;" "&amp;$AE$7,T20&amp;". "&amp;U20&amp;" "&amp;R20&amp;", "&amp;$AE$7)</f>
        <v>Lun.  1 juin 2026</v>
      </c>
      <c r="Z20" s="143">
        <f t="shared" ref="Z20:Z83" ca="1" si="4">MIN(R20,$AF$5)</f>
        <v>1</v>
      </c>
      <c r="AA20" s="348">
        <f t="shared" ref="AA20:AA83" ca="1" si="5">$AD$6</f>
        <v>6</v>
      </c>
      <c r="AB20" s="168">
        <f ca="1">MAX(0,M20)*AW20</f>
        <v>0</v>
      </c>
      <c r="AF20" s="349">
        <f t="shared" ref="AF20:AF83" ca="1" si="6">IF(AND(ISNUMBER(D20),D20&lt;=$Z$16),1,99)</f>
        <v>1</v>
      </c>
      <c r="AG20" s="350">
        <f ca="1">MIN(AF20:AF$195)</f>
        <v>1</v>
      </c>
      <c r="AH20" s="121" t="b">
        <f t="shared" ref="AH20:AH83" si="7">IF(AND(ISNUMBER(M20),M20&gt;0),$AH$8&amp;D20)</f>
        <v>0</v>
      </c>
      <c r="AJ20" s="191">
        <f t="shared" ref="AJ20:AJ83" ca="1" si="8">IF(AND(ISNUMBER(D20),D20&lt;=$AF$5,OR(D20&gt;D19+1,D20&lt;D19)),1,0)</f>
        <v>0</v>
      </c>
      <c r="AK20" s="168">
        <f>MAX(L19:L$20)</f>
        <v>0</v>
      </c>
      <c r="AL20" s="351" t="str">
        <f>"- -"</f>
        <v>- -</v>
      </c>
      <c r="AM20" s="121">
        <f>MIN(K21:K$194)</f>
        <v>0</v>
      </c>
      <c r="AN20" s="352" t="str">
        <f>IF(AND(AM20&gt;0,ISNUMBER(L20)),IF(L20&gt;AM20,$AN$19,"- -"),"- -")</f>
        <v>- -</v>
      </c>
      <c r="AP20" s="352">
        <f>IF(AND(AM20&gt;0,LEN(AL20&amp;AN20)&gt;6),Z20,999)</f>
        <v>999</v>
      </c>
      <c r="AQ20" s="143">
        <f t="shared" ref="AQ20:AQ83" si="9">IF(ISNUMBER(Z19),IF(Z20&lt;&gt;Z19,Z19,AQ19),0)</f>
        <v>0</v>
      </c>
      <c r="AR20" s="143">
        <f t="shared" ref="AR20:AR83" ca="1" si="10">IF(Z20&lt;&gt;Z21,Z21,AR21)</f>
        <v>30</v>
      </c>
      <c r="AU20" s="281" t="str">
        <f>IF($C20=$AB$15,'NTS ONLY_set_year'!$E$143," ")&amp;$D20</f>
        <v xml:space="preserve"> 1</v>
      </c>
      <c r="AV20" s="121">
        <f ca="1">IF($X$16=$X$14,0,IF(ISERROR(INDEX($AK$2:$BO$2,D20)),0,(INDEX($AK$2:$BO$2,D20))))</f>
        <v>0</v>
      </c>
      <c r="AW20" s="198">
        <f t="shared" ref="AW20:AW37" ca="1" si="11">IF(OR(D20&gt;$AF$5,D20&lt;1),0,1-AV20)</f>
        <v>1</v>
      </c>
      <c r="BE20" s="735" t="str">
        <f ca="1">$AU$9</f>
        <v>Totaux</v>
      </c>
      <c r="BF20" s="736"/>
      <c r="BG20" s="620">
        <f ca="1">ROUND(SUM(OFFSET($AB$20,0,0,$AE$18)),1)</f>
        <v>0</v>
      </c>
      <c r="BH20" s="70" t="e">
        <f ca="1">ROUND(SUMPRODUCT(OFFSET($N$20,0,0,$AE$18),OFFSET($AW$20,0,0,$AE$18)),1)</f>
        <v>#VALUE!</v>
      </c>
      <c r="BI20" s="70" t="e">
        <f ca="1">ROUND(SUMPRODUCT(OFFSET($O$20,0,0,$AE$18),OFFSET($AW$20,0,0,$AE$18)),1)</f>
        <v>#VALUE!</v>
      </c>
      <c r="BJ20" s="70" t="e">
        <f ca="1">ROUND(SUMPRODUCT(OFFSET($P$20,0,0,$AE$18),OFFSET($AW$20,0,0,$AE$18)),1)</f>
        <v>#VALUE!</v>
      </c>
      <c r="BK20" s="70" t="e">
        <f ca="1">ROUND(SUMPRODUCT(OFFSET($Q$20,0,0,$AE$18),OFFSET($AW$20,0,0,$AE$18)),1)</f>
        <v>#VALUE!</v>
      </c>
      <c r="BM20" s="352">
        <f>IF(OR(NOT(ISNUMBER(K20)),AND(K20&gt;=$BF$10,K20&lt;=$BF$11),AND(K20&gt;=$BJ$10,K20&lt;=$BJ$11),AND(K20&gt;=$BK$10,K20&lt;=$BK$11),AND(K20&gt;=$BL$10,K20&lt;=$BL$11),AND(K20&gt;=$BM$10,K20&lt;=$BM$11),AND(K20&gt;=$BN$10,K20&lt;=$BN$11)),1,999)</f>
        <v>1</v>
      </c>
      <c r="BN20" s="281">
        <f>IF(OR(NOT(ISNUMBER(L20)),AND(L20&gt;=$BF$10,L20&lt;=$BF$11),AND(L20&gt;=$BJ$10,L20&lt;=$BJ$11),AND(L20&gt;=$BK$10,L20&lt;=$BK$11),AND(L20&gt;=$BL$10,L20&lt;=$BL$11),AND(L20&gt;=$BM$10,L20&lt;=$BM$11),AND(L20&gt;=$BN$10,L20&lt;=$BN$11)),1,999)</f>
        <v>1</v>
      </c>
      <c r="BQ20" s="251"/>
      <c r="BR20" s="7"/>
      <c r="BS20" s="7"/>
      <c r="BT20" s="7"/>
      <c r="IU20" s="16"/>
    </row>
    <row r="21" spans="2:255" ht="13.2">
      <c r="B21" s="9">
        <v>2</v>
      </c>
      <c r="C21" s="17"/>
      <c r="D21" s="72"/>
      <c r="E21" s="76"/>
      <c r="F21" s="76"/>
      <c r="G21" s="76" t="str">
        <f ca="1">IF(ISBLANK(D21),IF(AND(ISNUMBER(D20),D20&lt;$AF$5),'NTS ONLY_set_year'!$E$62,"- -"),IF(D21&gt;$AF$5,$AG$5,IF(D21&gt;D20+1,$AG$6,IF(D21&lt;D20,$AG$7,Y21))))</f>
        <v xml:space="preserve">◄ ◄◄ ◄ ◄ ◄ ◄ ◄  Entrer jour  </v>
      </c>
      <c r="H21" s="532"/>
      <c r="I21" s="621"/>
      <c r="J21" s="534"/>
      <c r="K21" s="555"/>
      <c r="L21" s="556"/>
      <c r="M21" s="557" t="str">
        <f t="shared" si="3"/>
        <v/>
      </c>
      <c r="N21" s="558"/>
      <c r="O21" s="559"/>
      <c r="P21" s="560"/>
      <c r="Q21" s="559"/>
      <c r="R21" s="18" t="str">
        <f t="shared" ref="R21:R84" si="12">IF(ISBLANK(D21),"",D21)</f>
        <v/>
      </c>
      <c r="S21" s="36"/>
      <c r="T21" s="120" t="str">
        <f ca="1">INDEX('NTS ONLY_set_year'!E:E,MATCH(TEXT($X21,"Ddd"),'NTS ONLY_set_year'!C:C,0))</f>
        <v>Dim</v>
      </c>
      <c r="U21" s="186" t="str">
        <f t="shared" ref="U21:U84" ca="1" si="13">$U$19</f>
        <v>juin</v>
      </c>
      <c r="X21" s="347">
        <f ca="1">$AE$8+D21</f>
        <v>46173</v>
      </c>
      <c r="Y21" s="452" t="str">
        <f t="shared" ref="Y21:Y84" ca="1" si="14">IF(Y15="f",T21&amp;". "&amp;" "&amp;R21&amp;" "&amp;U21&amp;" "&amp;$AE$7,T21&amp;". "&amp;U21&amp;" "&amp;R21&amp;", "&amp;$AE$7)</f>
        <v>Dim. juin , 2026</v>
      </c>
      <c r="Z21" s="143">
        <f t="shared" ca="1" si="4"/>
        <v>30</v>
      </c>
      <c r="AA21" s="348">
        <f t="shared" ca="1" si="5"/>
        <v>6</v>
      </c>
      <c r="AB21" s="168">
        <f t="shared" ref="AB21:AB84" ca="1" si="15">MAX(0,M21)*AW21</f>
        <v>0</v>
      </c>
      <c r="AF21" s="349">
        <f t="shared" ca="1" si="6"/>
        <v>99</v>
      </c>
      <c r="AG21" s="350">
        <f ca="1">MIN(AF21:AF$195)</f>
        <v>99</v>
      </c>
      <c r="AH21" s="121" t="b">
        <f t="shared" si="7"/>
        <v>0</v>
      </c>
      <c r="AJ21" s="191">
        <f t="shared" ca="1" si="8"/>
        <v>0</v>
      </c>
      <c r="AK21" s="168">
        <f>MAX(L$20:L20)</f>
        <v>0</v>
      </c>
      <c r="AL21" s="121" t="str">
        <f>IF(ISNUMBER(K21),IF(K21&lt;AK21,$AL$19,"- -"),"- -")</f>
        <v>- -</v>
      </c>
      <c r="AM21" s="121">
        <f>MIN(K22:K$194)</f>
        <v>0</v>
      </c>
      <c r="AN21" s="352" t="str">
        <f>IF(AND(AM21&gt;0,ISNUMBER(L21)),IF(L21&gt;AM21,$AN$19,"- -"),"- -")</f>
        <v>- -</v>
      </c>
      <c r="AP21" s="352">
        <f t="shared" ref="AP21:AP84" si="16">IF(AND(AM21&gt;0,LEN(AL21&amp;AN21)&gt;6),Z21,999)</f>
        <v>999</v>
      </c>
      <c r="AQ21" s="143">
        <f t="shared" ca="1" si="9"/>
        <v>1</v>
      </c>
      <c r="AR21" s="143">
        <f t="shared" ca="1" si="10"/>
        <v>0</v>
      </c>
      <c r="AU21" s="281" t="str">
        <f>IF($C21=$AB$15,'NTS ONLY_set_year'!$E$143," ")&amp;$D21</f>
        <v xml:space="preserve"> </v>
      </c>
      <c r="AV21" s="121">
        <f ca="1">IF($X$16=$X$14,0,IF(ISERROR(INDEX($AK$2:$BO$2,D21)),0,(INDEX($AK$2:$BO$2,D21))))</f>
        <v>0</v>
      </c>
      <c r="AW21" s="198">
        <f t="shared" ca="1" si="11"/>
        <v>0</v>
      </c>
      <c r="BM21" s="352">
        <f>IF(OR(NOT(ISNUMBER(K21)),AND(K21&gt;=$BF$10,K21&lt;=$BF$11),AND(K21&gt;=$BJ$10,K21&lt;=$BJ$11),AND(K21&gt;=$BK$10,K21&lt;=$BK$11),AND(K21&gt;=$BL$10,K21&lt;=$BL$11),AND(K21&gt;=$BM$10,K21&lt;=$BM$11),AND(K21&gt;=$BN$10,K21&lt;=$BN$11)),1,999)</f>
        <v>1</v>
      </c>
      <c r="BN21" s="281">
        <f>IF(OR(NOT(ISNUMBER(L21)),AND(L21&gt;=$BF$10,L21&lt;=$BF$11),AND(L21&gt;=$BJ$10,L21&lt;=$BJ$11),AND(L21&gt;=$BK$10,L21&lt;=$BK$11),AND(L21&gt;=$BL$10,L21&lt;=$BL$11),AND(L21&gt;=$BM$10,L21&lt;=$BM$11),AND(L21&gt;=$BN$10,L21&lt;=$BN$11)),1,999)</f>
        <v>1</v>
      </c>
      <c r="BQ21" s="251"/>
      <c r="BR21" s="7"/>
      <c r="BS21" s="7"/>
      <c r="BT21" s="7"/>
      <c r="IU21" s="16"/>
    </row>
    <row r="22" spans="2:255" ht="13.2">
      <c r="B22" s="9">
        <v>3</v>
      </c>
      <c r="C22" s="17"/>
      <c r="D22" s="72"/>
      <c r="E22" s="76"/>
      <c r="F22" s="76"/>
      <c r="G22" s="76" t="str">
        <f ca="1">IF(ISBLANK(D22),IF(AND(ISNUMBER(D21),D21&lt;$AF$5),'NTS ONLY_set_year'!$E$62,"- -"),IF(D22&gt;$AF$5,$AG$5,IF(D22&gt;D21+1,$AG$6,IF(D22&lt;D21,$AG$7,Y22))))</f>
        <v>- -</v>
      </c>
      <c r="H22" s="532"/>
      <c r="I22" s="621"/>
      <c r="J22" s="534"/>
      <c r="K22" s="555"/>
      <c r="L22" s="556"/>
      <c r="M22" s="557" t="str">
        <f t="shared" si="3"/>
        <v/>
      </c>
      <c r="N22" s="558"/>
      <c r="O22" s="559"/>
      <c r="P22" s="560"/>
      <c r="Q22" s="559"/>
      <c r="R22" s="18" t="str">
        <f t="shared" si="12"/>
        <v/>
      </c>
      <c r="S22" s="36"/>
      <c r="T22" s="120" t="str">
        <f ca="1">INDEX('NTS ONLY_set_year'!E:E,MATCH(TEXT($X22,"Ddd"),'NTS ONLY_set_year'!C:C,0))</f>
        <v>Dim</v>
      </c>
      <c r="U22" s="186" t="str">
        <f t="shared" ca="1" si="13"/>
        <v>juin</v>
      </c>
      <c r="X22" s="347">
        <f t="shared" ref="X22:X85" ca="1" si="17">$AE$8+D22</f>
        <v>46173</v>
      </c>
      <c r="Y22" s="452" t="str">
        <f t="shared" ca="1" si="14"/>
        <v>Dim. juin , 2026</v>
      </c>
      <c r="Z22" s="143">
        <f t="shared" ca="1" si="4"/>
        <v>30</v>
      </c>
      <c r="AA22" s="348">
        <f t="shared" ca="1" si="5"/>
        <v>6</v>
      </c>
      <c r="AB22" s="168">
        <f t="shared" ca="1" si="15"/>
        <v>0</v>
      </c>
      <c r="AF22" s="349">
        <f t="shared" ca="1" si="6"/>
        <v>99</v>
      </c>
      <c r="AG22" s="350">
        <f ca="1">MIN(AF22:AF$195)</f>
        <v>99</v>
      </c>
      <c r="AH22" s="121" t="b">
        <f t="shared" si="7"/>
        <v>0</v>
      </c>
      <c r="AJ22" s="191">
        <f t="shared" ca="1" si="8"/>
        <v>0</v>
      </c>
      <c r="AK22" s="168">
        <f>MAX(L$20:L21)</f>
        <v>0</v>
      </c>
      <c r="AL22" s="121" t="str">
        <f t="shared" ref="AL22:AL85" si="18">IF(ISNUMBER(K22),IF(K22&lt;AK22,$AL$19,"- -"),"- -")</f>
        <v>- -</v>
      </c>
      <c r="AM22" s="121">
        <f>MIN(K23:K$194)</f>
        <v>0</v>
      </c>
      <c r="AN22" s="352" t="str">
        <f t="shared" ref="AN22:AN85" si="19">IF(AND(AM22&gt;0,ISNUMBER(L22)),IF(L22&gt;AM22,$AN$19,"- -"),"- -")</f>
        <v>- -</v>
      </c>
      <c r="AP22" s="352">
        <f t="shared" si="16"/>
        <v>999</v>
      </c>
      <c r="AQ22" s="143">
        <f t="shared" ca="1" si="9"/>
        <v>1</v>
      </c>
      <c r="AR22" s="143">
        <f t="shared" ca="1" si="10"/>
        <v>0</v>
      </c>
      <c r="AU22" s="281" t="str">
        <f>IF($C22=$AB$15,'NTS ONLY_set_year'!$E$143," ")&amp;$D22</f>
        <v xml:space="preserve"> </v>
      </c>
      <c r="AV22" s="121">
        <f ca="1">IF($X$16=$X$14,0,IF(ISERROR(INDEX($AK$2:$BO$2,D22)),0,(INDEX($AK$2:$BO$2,D22))))</f>
        <v>0</v>
      </c>
      <c r="AW22" s="198">
        <f t="shared" ca="1" si="11"/>
        <v>0</v>
      </c>
      <c r="BM22" s="352">
        <f t="shared" ref="BM22:BN85" si="20">IF(OR(NOT(ISNUMBER(K22)),AND(K22&gt;=$BF$10,K22&lt;=$BF$11),AND(K22&gt;=$BJ$10,K22&lt;=$BJ$11),AND(K22&gt;=$BK$10,K22&lt;=$BK$11),AND(K22&gt;=$BL$10,K22&lt;=$BL$11),AND(K22&gt;=$BM$10,K22&lt;=$BM$11),AND(K22&gt;=$BN$10,K22&lt;=$BN$11)),1,999)</f>
        <v>1</v>
      </c>
      <c r="BN22" s="281">
        <f t="shared" si="20"/>
        <v>1</v>
      </c>
      <c r="BQ22" s="251"/>
      <c r="BR22" s="7"/>
      <c r="BS22" s="7"/>
      <c r="BT22" s="7"/>
      <c r="IU22" s="16"/>
    </row>
    <row r="23" spans="2:255" ht="13.2">
      <c r="B23" s="9">
        <v>4</v>
      </c>
      <c r="C23" s="17"/>
      <c r="D23" s="72"/>
      <c r="E23" s="76"/>
      <c r="F23" s="76"/>
      <c r="G23" s="76" t="str">
        <f ca="1">IF(ISBLANK(D23),IF(AND(ISNUMBER(D22),D22&lt;$AF$5),'NTS ONLY_set_year'!$E$62,"- -"),IF(D23&gt;$AF$5,$AG$5,IF(D23&gt;D22+1,$AG$6,IF(D23&lt;D22,$AG$7,Y23))))</f>
        <v>- -</v>
      </c>
      <c r="H23" s="532"/>
      <c r="I23" s="621"/>
      <c r="J23" s="534"/>
      <c r="K23" s="555"/>
      <c r="L23" s="556"/>
      <c r="M23" s="557" t="str">
        <f t="shared" si="3"/>
        <v/>
      </c>
      <c r="N23" s="558"/>
      <c r="O23" s="559"/>
      <c r="P23" s="560"/>
      <c r="Q23" s="559"/>
      <c r="R23" s="18" t="str">
        <f t="shared" si="12"/>
        <v/>
      </c>
      <c r="S23" s="36"/>
      <c r="T23" s="120" t="str">
        <f ca="1">INDEX('NTS ONLY_set_year'!E:E,MATCH(TEXT($X23,"Ddd"),'NTS ONLY_set_year'!C:C,0))</f>
        <v>Dim</v>
      </c>
      <c r="U23" s="186" t="str">
        <f t="shared" ca="1" si="13"/>
        <v>juin</v>
      </c>
      <c r="X23" s="347">
        <f t="shared" ca="1" si="17"/>
        <v>46173</v>
      </c>
      <c r="Y23" s="452" t="str">
        <f t="shared" ca="1" si="14"/>
        <v>Dim. juin , 2026</v>
      </c>
      <c r="Z23" s="143">
        <f t="shared" ca="1" si="4"/>
        <v>30</v>
      </c>
      <c r="AA23" s="348">
        <f t="shared" ca="1" si="5"/>
        <v>6</v>
      </c>
      <c r="AB23" s="168">
        <f t="shared" ca="1" si="15"/>
        <v>0</v>
      </c>
      <c r="AF23" s="349">
        <f t="shared" ca="1" si="6"/>
        <v>99</v>
      </c>
      <c r="AG23" s="350">
        <f ca="1">MIN(AF23:AF$195)</f>
        <v>99</v>
      </c>
      <c r="AH23" s="121" t="b">
        <f t="shared" si="7"/>
        <v>0</v>
      </c>
      <c r="AJ23" s="191">
        <f t="shared" ca="1" si="8"/>
        <v>0</v>
      </c>
      <c r="AK23" s="168">
        <f>MAX(L$20:L22)</f>
        <v>0</v>
      </c>
      <c r="AL23" s="121" t="str">
        <f t="shared" si="18"/>
        <v>- -</v>
      </c>
      <c r="AM23" s="121">
        <f>MIN(K24:K$194)</f>
        <v>0</v>
      </c>
      <c r="AN23" s="352" t="str">
        <f t="shared" si="19"/>
        <v>- -</v>
      </c>
      <c r="AP23" s="352">
        <f t="shared" si="16"/>
        <v>999</v>
      </c>
      <c r="AQ23" s="143">
        <f t="shared" ca="1" si="9"/>
        <v>1</v>
      </c>
      <c r="AR23" s="143">
        <f t="shared" ca="1" si="10"/>
        <v>0</v>
      </c>
      <c r="AU23" s="281" t="str">
        <f>IF($C23=$AB$15,'NTS ONLY_set_year'!$E$143," ")&amp;$D23</f>
        <v xml:space="preserve"> </v>
      </c>
      <c r="AV23" s="121">
        <f ca="1">IF($X$16=$X$14,0,IF(ISERROR(INDEX($AK$2:$BO$2,D23)),0,(INDEX($AK$2:$BO$2,D23))))</f>
        <v>0</v>
      </c>
      <c r="AW23" s="198">
        <f t="shared" ca="1" si="11"/>
        <v>0</v>
      </c>
      <c r="BM23" s="352">
        <f t="shared" si="20"/>
        <v>1</v>
      </c>
      <c r="BN23" s="281">
        <f t="shared" si="20"/>
        <v>1</v>
      </c>
      <c r="BQ23" s="251"/>
      <c r="BR23" s="7"/>
      <c r="BS23" s="7"/>
      <c r="BT23" s="7"/>
      <c r="IU23" s="16"/>
    </row>
    <row r="24" spans="2:255" ht="13.2">
      <c r="B24" s="9">
        <v>5</v>
      </c>
      <c r="C24" s="17"/>
      <c r="D24" s="72"/>
      <c r="E24" s="76"/>
      <c r="F24" s="76"/>
      <c r="G24" s="76" t="str">
        <f ca="1">IF(ISBLANK(D24),IF(AND(ISNUMBER(D23),D23&lt;$AF$5),'NTS ONLY_set_year'!$E$62,"- -"),IF(D24&gt;$AF$5,$AG$5,IF(D24&gt;D23+1,$AG$6,IF(D24&lt;D23,$AG$7,Y24))))</f>
        <v>- -</v>
      </c>
      <c r="H24" s="532"/>
      <c r="I24" s="621"/>
      <c r="J24" s="534"/>
      <c r="K24" s="555"/>
      <c r="L24" s="556"/>
      <c r="M24" s="557" t="str">
        <f t="shared" si="3"/>
        <v/>
      </c>
      <c r="N24" s="558"/>
      <c r="O24" s="559"/>
      <c r="P24" s="560"/>
      <c r="Q24" s="559"/>
      <c r="R24" s="18" t="str">
        <f t="shared" si="12"/>
        <v/>
      </c>
      <c r="S24" s="36"/>
      <c r="T24" s="120" t="str">
        <f ca="1">INDEX('NTS ONLY_set_year'!E:E,MATCH(TEXT($X24,"Ddd"),'NTS ONLY_set_year'!C:C,0))</f>
        <v>Dim</v>
      </c>
      <c r="U24" s="186" t="str">
        <f t="shared" ca="1" si="13"/>
        <v>juin</v>
      </c>
      <c r="X24" s="347">
        <f t="shared" ca="1" si="17"/>
        <v>46173</v>
      </c>
      <c r="Y24" s="452" t="str">
        <f t="shared" ca="1" si="14"/>
        <v>Dim. juin , 2026</v>
      </c>
      <c r="Z24" s="143">
        <f t="shared" ca="1" si="4"/>
        <v>30</v>
      </c>
      <c r="AA24" s="348">
        <f t="shared" ca="1" si="5"/>
        <v>6</v>
      </c>
      <c r="AB24" s="168">
        <f t="shared" ca="1" si="15"/>
        <v>0</v>
      </c>
      <c r="AF24" s="349">
        <f t="shared" ca="1" si="6"/>
        <v>99</v>
      </c>
      <c r="AG24" s="350">
        <f ca="1">MIN(AF24:AF$195)</f>
        <v>99</v>
      </c>
      <c r="AH24" s="121" t="b">
        <f t="shared" si="7"/>
        <v>0</v>
      </c>
      <c r="AJ24" s="191">
        <f t="shared" ca="1" si="8"/>
        <v>0</v>
      </c>
      <c r="AK24" s="168">
        <f>MAX(L$20:L23)</f>
        <v>0</v>
      </c>
      <c r="AL24" s="121" t="str">
        <f t="shared" si="18"/>
        <v>- -</v>
      </c>
      <c r="AM24" s="121">
        <f>MIN(K25:K$194)</f>
        <v>0</v>
      </c>
      <c r="AN24" s="352" t="str">
        <f t="shared" si="19"/>
        <v>- -</v>
      </c>
      <c r="AP24" s="352">
        <f t="shared" si="16"/>
        <v>999</v>
      </c>
      <c r="AQ24" s="143">
        <f t="shared" ca="1" si="9"/>
        <v>1</v>
      </c>
      <c r="AR24" s="143">
        <f t="shared" ca="1" si="10"/>
        <v>0</v>
      </c>
      <c r="AU24" s="281" t="str">
        <f>IF($C24=$AB$15,'NTS ONLY_set_year'!$E$143," ")&amp;$D24</f>
        <v xml:space="preserve"> </v>
      </c>
      <c r="AV24" s="121">
        <f ca="1">IF($X$16=$X$14,0,IF(ISERROR(INDEX($AK$2:$BO$2,D24)),0,(INDEX($AK$2:$BO$2,D24))))</f>
        <v>0</v>
      </c>
      <c r="AW24" s="198">
        <f t="shared" ca="1" si="11"/>
        <v>0</v>
      </c>
      <c r="BM24" s="352">
        <f t="shared" si="20"/>
        <v>1</v>
      </c>
      <c r="BN24" s="281">
        <f t="shared" si="20"/>
        <v>1</v>
      </c>
      <c r="BQ24" s="251"/>
      <c r="BR24" s="7"/>
      <c r="BS24" s="7"/>
      <c r="BT24" s="7"/>
      <c r="IU24" s="16"/>
    </row>
    <row r="25" spans="2:255" ht="13.2">
      <c r="B25" s="9">
        <v>6</v>
      </c>
      <c r="C25" s="17"/>
      <c r="D25" s="72"/>
      <c r="E25" s="76"/>
      <c r="F25" s="76"/>
      <c r="G25" s="76" t="str">
        <f ca="1">IF(ISBLANK(D25),IF(AND(ISNUMBER(D24),D24&lt;$AF$5),'NTS ONLY_set_year'!$E$62,"- -"),IF(D25&gt;$AF$5,$AG$5,IF(D25&gt;D24+1,$AG$6,IF(D25&lt;D24,$AG$7,Y25))))</f>
        <v>- -</v>
      </c>
      <c r="H25" s="532"/>
      <c r="I25" s="621"/>
      <c r="J25" s="534"/>
      <c r="K25" s="555"/>
      <c r="L25" s="556"/>
      <c r="M25" s="557" t="str">
        <f t="shared" si="3"/>
        <v/>
      </c>
      <c r="N25" s="558"/>
      <c r="O25" s="559"/>
      <c r="P25" s="560"/>
      <c r="Q25" s="559"/>
      <c r="R25" s="18" t="str">
        <f t="shared" si="12"/>
        <v/>
      </c>
      <c r="S25" s="36"/>
      <c r="T25" s="120" t="str">
        <f ca="1">INDEX('NTS ONLY_set_year'!E:E,MATCH(TEXT($X25,"Ddd"),'NTS ONLY_set_year'!C:C,0))</f>
        <v>Dim</v>
      </c>
      <c r="U25" s="186" t="str">
        <f t="shared" ca="1" si="13"/>
        <v>juin</v>
      </c>
      <c r="X25" s="347">
        <f t="shared" ca="1" si="17"/>
        <v>46173</v>
      </c>
      <c r="Y25" s="452" t="str">
        <f t="shared" ca="1" si="14"/>
        <v>Dim. juin , 2026</v>
      </c>
      <c r="Z25" s="143">
        <f t="shared" ca="1" si="4"/>
        <v>30</v>
      </c>
      <c r="AA25" s="348">
        <f t="shared" ca="1" si="5"/>
        <v>6</v>
      </c>
      <c r="AB25" s="168">
        <f t="shared" ca="1" si="15"/>
        <v>0</v>
      </c>
      <c r="AF25" s="349">
        <f t="shared" ca="1" si="6"/>
        <v>99</v>
      </c>
      <c r="AG25" s="350">
        <f ca="1">MIN(AF25:AF$195)</f>
        <v>99</v>
      </c>
      <c r="AH25" s="121" t="b">
        <f t="shared" si="7"/>
        <v>0</v>
      </c>
      <c r="AJ25" s="191">
        <f t="shared" ca="1" si="8"/>
        <v>0</v>
      </c>
      <c r="AK25" s="168">
        <f>MAX(L$20:L24)</f>
        <v>0</v>
      </c>
      <c r="AL25" s="121" t="str">
        <f t="shared" si="18"/>
        <v>- -</v>
      </c>
      <c r="AM25" s="121">
        <f>MIN(K26:K$194)</f>
        <v>0</v>
      </c>
      <c r="AN25" s="352" t="str">
        <f t="shared" si="19"/>
        <v>- -</v>
      </c>
      <c r="AP25" s="352">
        <f t="shared" si="16"/>
        <v>999</v>
      </c>
      <c r="AQ25" s="143">
        <f t="shared" ca="1" si="9"/>
        <v>1</v>
      </c>
      <c r="AR25" s="143">
        <f t="shared" ca="1" si="10"/>
        <v>0</v>
      </c>
      <c r="AU25" s="281" t="str">
        <f>IF($C25=$AB$15,'NTS ONLY_set_year'!$E$143," ")&amp;$D25</f>
        <v xml:space="preserve"> </v>
      </c>
      <c r="AV25" s="121">
        <f t="shared" ref="AV25:AV88" ca="1" si="21">IF($X$16=$X$14,0,IF(ISERROR(INDEX($AK$2:$BO$2,D25)),0,(INDEX($AK$2:$BO$2,D25))))</f>
        <v>0</v>
      </c>
      <c r="AW25" s="198">
        <f t="shared" ca="1" si="11"/>
        <v>0</v>
      </c>
      <c r="BM25" s="352">
        <f t="shared" si="20"/>
        <v>1</v>
      </c>
      <c r="BN25" s="281">
        <f t="shared" si="20"/>
        <v>1</v>
      </c>
      <c r="BQ25" s="251"/>
      <c r="BR25" s="7"/>
      <c r="BS25" s="7"/>
      <c r="BT25" s="7"/>
      <c r="IU25" s="16"/>
    </row>
    <row r="26" spans="2:255" ht="13.2">
      <c r="B26" s="9">
        <v>7</v>
      </c>
      <c r="C26" s="17"/>
      <c r="D26" s="72"/>
      <c r="E26" s="76"/>
      <c r="F26" s="76"/>
      <c r="G26" s="76" t="str">
        <f ca="1">IF(ISBLANK(D26),IF(AND(ISNUMBER(D25),D25&lt;$AF$5),'NTS ONLY_set_year'!$E$62,"- -"),IF(D26&gt;$AF$5,$AG$5,IF(D26&gt;D25+1,$AG$6,IF(D26&lt;D25,$AG$7,Y26))))</f>
        <v>- -</v>
      </c>
      <c r="H26" s="532"/>
      <c r="I26" s="621"/>
      <c r="J26" s="534"/>
      <c r="K26" s="555"/>
      <c r="L26" s="556"/>
      <c r="M26" s="557" t="str">
        <f t="shared" si="3"/>
        <v/>
      </c>
      <c r="N26" s="558"/>
      <c r="O26" s="559"/>
      <c r="P26" s="560"/>
      <c r="Q26" s="559"/>
      <c r="R26" s="18" t="str">
        <f t="shared" si="12"/>
        <v/>
      </c>
      <c r="S26" s="36"/>
      <c r="T26" s="120" t="str">
        <f ca="1">INDEX('NTS ONLY_set_year'!E:E,MATCH(TEXT($X26,"Ddd"),'NTS ONLY_set_year'!C:C,0))</f>
        <v>Dim</v>
      </c>
      <c r="U26" s="186" t="str">
        <f t="shared" ca="1" si="13"/>
        <v>juin</v>
      </c>
      <c r="X26" s="347">
        <f t="shared" ca="1" si="17"/>
        <v>46173</v>
      </c>
      <c r="Y26" s="452" t="str">
        <f t="shared" ca="1" si="14"/>
        <v>Dim. juin , 2026</v>
      </c>
      <c r="Z26" s="143">
        <f t="shared" ca="1" si="4"/>
        <v>30</v>
      </c>
      <c r="AA26" s="348">
        <f t="shared" ca="1" si="5"/>
        <v>6</v>
      </c>
      <c r="AB26" s="168">
        <f t="shared" ca="1" si="15"/>
        <v>0</v>
      </c>
      <c r="AF26" s="349">
        <f t="shared" ca="1" si="6"/>
        <v>99</v>
      </c>
      <c r="AG26" s="350">
        <f ca="1">MIN(AF26:AF$195)</f>
        <v>99</v>
      </c>
      <c r="AH26" s="121" t="b">
        <f t="shared" si="7"/>
        <v>0</v>
      </c>
      <c r="AJ26" s="191">
        <f t="shared" ca="1" si="8"/>
        <v>0</v>
      </c>
      <c r="AK26" s="168">
        <f>MAX(L$20:L25)</f>
        <v>0</v>
      </c>
      <c r="AL26" s="121" t="str">
        <f t="shared" si="18"/>
        <v>- -</v>
      </c>
      <c r="AM26" s="121">
        <f>MIN(K27:K$194)</f>
        <v>0</v>
      </c>
      <c r="AN26" s="352" t="str">
        <f t="shared" si="19"/>
        <v>- -</v>
      </c>
      <c r="AP26" s="352">
        <f t="shared" si="16"/>
        <v>999</v>
      </c>
      <c r="AQ26" s="143">
        <f t="shared" ca="1" si="9"/>
        <v>1</v>
      </c>
      <c r="AR26" s="143">
        <f t="shared" ca="1" si="10"/>
        <v>0</v>
      </c>
      <c r="AU26" s="281" t="str">
        <f>IF($C26=$AB$15,'NTS ONLY_set_year'!$E$143," ")&amp;$D26</f>
        <v xml:space="preserve"> </v>
      </c>
      <c r="AV26" s="121">
        <f t="shared" ca="1" si="21"/>
        <v>0</v>
      </c>
      <c r="AW26" s="198">
        <f t="shared" ca="1" si="11"/>
        <v>0</v>
      </c>
      <c r="BM26" s="352">
        <f t="shared" si="20"/>
        <v>1</v>
      </c>
      <c r="BN26" s="281">
        <f t="shared" si="20"/>
        <v>1</v>
      </c>
      <c r="BQ26" s="251"/>
      <c r="BR26" s="7"/>
      <c r="BS26" s="7"/>
      <c r="BT26" s="7"/>
      <c r="IU26" s="16"/>
    </row>
    <row r="27" spans="2:255" ht="13.2">
      <c r="B27" s="9">
        <v>8</v>
      </c>
      <c r="C27" s="17"/>
      <c r="D27" s="72"/>
      <c r="E27" s="76"/>
      <c r="F27" s="76"/>
      <c r="G27" s="76" t="str">
        <f ca="1">IF(ISBLANK(D27),IF(AND(ISNUMBER(D26),D26&lt;$AF$5),'NTS ONLY_set_year'!$E$62,"- -"),IF(D27&gt;$AF$5,$AG$5,IF(D27&gt;D26+1,$AG$6,IF(D27&lt;D26,$AG$7,Y27))))</f>
        <v>- -</v>
      </c>
      <c r="H27" s="532"/>
      <c r="I27" s="621"/>
      <c r="J27" s="534"/>
      <c r="K27" s="555"/>
      <c r="L27" s="556"/>
      <c r="M27" s="557" t="str">
        <f t="shared" si="3"/>
        <v/>
      </c>
      <c r="N27" s="558"/>
      <c r="O27" s="559"/>
      <c r="P27" s="560"/>
      <c r="Q27" s="559"/>
      <c r="R27" s="18" t="str">
        <f t="shared" si="12"/>
        <v/>
      </c>
      <c r="S27" s="36"/>
      <c r="T27" s="120" t="str">
        <f ca="1">INDEX('NTS ONLY_set_year'!E:E,MATCH(TEXT($X27,"Ddd"),'NTS ONLY_set_year'!C:C,0))</f>
        <v>Dim</v>
      </c>
      <c r="U27" s="186" t="str">
        <f t="shared" ca="1" si="13"/>
        <v>juin</v>
      </c>
      <c r="X27" s="347">
        <f t="shared" ca="1" si="17"/>
        <v>46173</v>
      </c>
      <c r="Y27" s="452" t="str">
        <f t="shared" ca="1" si="14"/>
        <v>Dim. juin , 2026</v>
      </c>
      <c r="Z27" s="143">
        <f t="shared" ca="1" si="4"/>
        <v>30</v>
      </c>
      <c r="AA27" s="348">
        <f t="shared" ca="1" si="5"/>
        <v>6</v>
      </c>
      <c r="AB27" s="168">
        <f t="shared" ca="1" si="15"/>
        <v>0</v>
      </c>
      <c r="AF27" s="349">
        <f t="shared" ca="1" si="6"/>
        <v>99</v>
      </c>
      <c r="AG27" s="350">
        <f ca="1">MIN(AF27:AF$195)</f>
        <v>99</v>
      </c>
      <c r="AH27" s="121" t="b">
        <f t="shared" si="7"/>
        <v>0</v>
      </c>
      <c r="AJ27" s="191">
        <f t="shared" ca="1" si="8"/>
        <v>0</v>
      </c>
      <c r="AK27" s="168">
        <f>MAX(L$20:L26)</f>
        <v>0</v>
      </c>
      <c r="AL27" s="121" t="str">
        <f t="shared" si="18"/>
        <v>- -</v>
      </c>
      <c r="AM27" s="121">
        <f>MIN(K28:K$194)</f>
        <v>0</v>
      </c>
      <c r="AN27" s="352" t="str">
        <f t="shared" si="19"/>
        <v>- -</v>
      </c>
      <c r="AP27" s="352">
        <f t="shared" si="16"/>
        <v>999</v>
      </c>
      <c r="AQ27" s="143">
        <f t="shared" ca="1" si="9"/>
        <v>1</v>
      </c>
      <c r="AR27" s="143">
        <f t="shared" ca="1" si="10"/>
        <v>0</v>
      </c>
      <c r="AU27" s="281" t="str">
        <f>IF($C27=$AB$15,'NTS ONLY_set_year'!$E$143," ")&amp;$D27</f>
        <v xml:space="preserve"> </v>
      </c>
      <c r="AV27" s="121">
        <f t="shared" ca="1" si="21"/>
        <v>0</v>
      </c>
      <c r="AW27" s="198">
        <f t="shared" ca="1" si="11"/>
        <v>0</v>
      </c>
      <c r="BM27" s="352">
        <f t="shared" si="20"/>
        <v>1</v>
      </c>
      <c r="BN27" s="281">
        <f t="shared" si="20"/>
        <v>1</v>
      </c>
      <c r="BQ27" s="251"/>
      <c r="BR27" s="7"/>
      <c r="BS27" s="7"/>
      <c r="BT27" s="7"/>
      <c r="IU27" s="16"/>
    </row>
    <row r="28" spans="2:255" ht="13.2">
      <c r="B28" s="9">
        <v>9</v>
      </c>
      <c r="C28" s="17"/>
      <c r="D28" s="72"/>
      <c r="E28" s="76"/>
      <c r="F28" s="76"/>
      <c r="G28" s="76" t="str">
        <f ca="1">IF(ISBLANK(D28),IF(AND(ISNUMBER(D27),D27&lt;$AF$5),'NTS ONLY_set_year'!$E$62,"- -"),IF(D28&gt;$AF$5,$AG$5,IF(D28&gt;D27+1,$AG$6,IF(D28&lt;D27,$AG$7,Y28))))</f>
        <v>- -</v>
      </c>
      <c r="H28" s="532"/>
      <c r="I28" s="621"/>
      <c r="J28" s="534"/>
      <c r="K28" s="555"/>
      <c r="L28" s="556"/>
      <c r="M28" s="557" t="str">
        <f t="shared" si="3"/>
        <v/>
      </c>
      <c r="N28" s="558"/>
      <c r="O28" s="559"/>
      <c r="P28" s="560"/>
      <c r="Q28" s="559"/>
      <c r="R28" s="18" t="str">
        <f t="shared" si="12"/>
        <v/>
      </c>
      <c r="S28" s="36"/>
      <c r="T28" s="120" t="str">
        <f ca="1">INDEX('NTS ONLY_set_year'!E:E,MATCH(TEXT($X28,"Ddd"),'NTS ONLY_set_year'!C:C,0))</f>
        <v>Dim</v>
      </c>
      <c r="U28" s="186" t="str">
        <f t="shared" ca="1" si="13"/>
        <v>juin</v>
      </c>
      <c r="X28" s="347">
        <f t="shared" ca="1" si="17"/>
        <v>46173</v>
      </c>
      <c r="Y28" s="452" t="str">
        <f t="shared" ca="1" si="14"/>
        <v>Dim. juin , 2026</v>
      </c>
      <c r="Z28" s="143">
        <f t="shared" ca="1" si="4"/>
        <v>30</v>
      </c>
      <c r="AA28" s="348">
        <f t="shared" ca="1" si="5"/>
        <v>6</v>
      </c>
      <c r="AB28" s="168">
        <f t="shared" ca="1" si="15"/>
        <v>0</v>
      </c>
      <c r="AF28" s="349">
        <f t="shared" ca="1" si="6"/>
        <v>99</v>
      </c>
      <c r="AG28" s="350">
        <f ca="1">MIN(AF28:AF$195)</f>
        <v>99</v>
      </c>
      <c r="AH28" s="121" t="b">
        <f t="shared" si="7"/>
        <v>0</v>
      </c>
      <c r="AJ28" s="191">
        <f t="shared" ca="1" si="8"/>
        <v>0</v>
      </c>
      <c r="AK28" s="168">
        <f>MAX(L$20:L27)</f>
        <v>0</v>
      </c>
      <c r="AL28" s="121" t="str">
        <f t="shared" si="18"/>
        <v>- -</v>
      </c>
      <c r="AM28" s="121">
        <f>MIN(K29:K$194)</f>
        <v>0</v>
      </c>
      <c r="AN28" s="352" t="str">
        <f t="shared" si="19"/>
        <v>- -</v>
      </c>
      <c r="AP28" s="352">
        <f t="shared" si="16"/>
        <v>999</v>
      </c>
      <c r="AQ28" s="143">
        <f t="shared" ca="1" si="9"/>
        <v>1</v>
      </c>
      <c r="AR28" s="143">
        <f t="shared" ca="1" si="10"/>
        <v>0</v>
      </c>
      <c r="AU28" s="281" t="str">
        <f>IF($C28=$AB$15,'NTS ONLY_set_year'!$E$143," ")&amp;$D28</f>
        <v xml:space="preserve"> </v>
      </c>
      <c r="AV28" s="121">
        <f t="shared" ca="1" si="21"/>
        <v>0</v>
      </c>
      <c r="AW28" s="198">
        <f t="shared" ca="1" si="11"/>
        <v>0</v>
      </c>
      <c r="BM28" s="352">
        <f t="shared" si="20"/>
        <v>1</v>
      </c>
      <c r="BN28" s="281">
        <f t="shared" si="20"/>
        <v>1</v>
      </c>
      <c r="BQ28" s="251"/>
      <c r="BR28" s="7"/>
      <c r="BS28" s="7"/>
      <c r="BT28" s="7"/>
      <c r="IU28" s="16"/>
    </row>
    <row r="29" spans="2:255" ht="13.2">
      <c r="B29" s="9">
        <v>10</v>
      </c>
      <c r="C29" s="17"/>
      <c r="D29" s="72"/>
      <c r="E29" s="76"/>
      <c r="F29" s="76"/>
      <c r="G29" s="76" t="str">
        <f ca="1">IF(ISBLANK(D29),IF(AND(ISNUMBER(D28),D28&lt;$AF$5),'NTS ONLY_set_year'!$E$62,"- -"),IF(D29&gt;$AF$5,$AG$5,IF(D29&gt;D28+1,$AG$6,IF(D29&lt;D28,$AG$7,Y29))))</f>
        <v>- -</v>
      </c>
      <c r="H29" s="532"/>
      <c r="I29" s="621"/>
      <c r="J29" s="534"/>
      <c r="K29" s="555"/>
      <c r="L29" s="556"/>
      <c r="M29" s="557" t="str">
        <f t="shared" si="3"/>
        <v/>
      </c>
      <c r="N29" s="558"/>
      <c r="O29" s="559"/>
      <c r="P29" s="560"/>
      <c r="Q29" s="559"/>
      <c r="R29" s="18" t="str">
        <f t="shared" si="12"/>
        <v/>
      </c>
      <c r="S29" s="36"/>
      <c r="T29" s="120" t="str">
        <f ca="1">INDEX('NTS ONLY_set_year'!E:E,MATCH(TEXT($X29,"Ddd"),'NTS ONLY_set_year'!C:C,0))</f>
        <v>Dim</v>
      </c>
      <c r="U29" s="186" t="str">
        <f t="shared" ca="1" si="13"/>
        <v>juin</v>
      </c>
      <c r="X29" s="347">
        <f t="shared" ca="1" si="17"/>
        <v>46173</v>
      </c>
      <c r="Y29" s="452" t="str">
        <f t="shared" ca="1" si="14"/>
        <v>Dim. juin , 2026</v>
      </c>
      <c r="Z29" s="143">
        <f t="shared" ca="1" si="4"/>
        <v>30</v>
      </c>
      <c r="AA29" s="348">
        <f t="shared" ca="1" si="5"/>
        <v>6</v>
      </c>
      <c r="AB29" s="168">
        <f t="shared" ca="1" si="15"/>
        <v>0</v>
      </c>
      <c r="AF29" s="349">
        <f t="shared" ca="1" si="6"/>
        <v>99</v>
      </c>
      <c r="AG29" s="350">
        <f ca="1">MIN(AF29:AF$195)</f>
        <v>99</v>
      </c>
      <c r="AH29" s="121" t="b">
        <f t="shared" si="7"/>
        <v>0</v>
      </c>
      <c r="AJ29" s="191">
        <f t="shared" ca="1" si="8"/>
        <v>0</v>
      </c>
      <c r="AK29" s="168">
        <f>MAX(L$20:L28)</f>
        <v>0</v>
      </c>
      <c r="AL29" s="121" t="str">
        <f t="shared" si="18"/>
        <v>- -</v>
      </c>
      <c r="AM29" s="121">
        <f>MIN(K30:K$194)</f>
        <v>0</v>
      </c>
      <c r="AN29" s="352" t="str">
        <f t="shared" si="19"/>
        <v>- -</v>
      </c>
      <c r="AP29" s="352">
        <f t="shared" si="16"/>
        <v>999</v>
      </c>
      <c r="AQ29" s="143">
        <f t="shared" ca="1" si="9"/>
        <v>1</v>
      </c>
      <c r="AR29" s="143">
        <f t="shared" ca="1" si="10"/>
        <v>0</v>
      </c>
      <c r="AU29" s="281" t="str">
        <f>IF($C29=$AB$15,'NTS ONLY_set_year'!$E$143," ")&amp;$D29</f>
        <v xml:space="preserve"> </v>
      </c>
      <c r="AV29" s="121">
        <f t="shared" ca="1" si="21"/>
        <v>0</v>
      </c>
      <c r="AW29" s="198">
        <f t="shared" ca="1" si="11"/>
        <v>0</v>
      </c>
      <c r="BM29" s="352">
        <f t="shared" si="20"/>
        <v>1</v>
      </c>
      <c r="BN29" s="281">
        <f t="shared" si="20"/>
        <v>1</v>
      </c>
      <c r="BQ29" s="251"/>
      <c r="BR29" s="7"/>
      <c r="BS29" s="7"/>
      <c r="BT29" s="7"/>
      <c r="IU29" s="16"/>
    </row>
    <row r="30" spans="2:255" ht="13.2">
      <c r="B30" s="9">
        <v>11</v>
      </c>
      <c r="C30" s="17"/>
      <c r="D30" s="72"/>
      <c r="E30" s="76"/>
      <c r="F30" s="76"/>
      <c r="G30" s="76" t="str">
        <f ca="1">IF(ISBLANK(D30),IF(AND(ISNUMBER(D29),D29&lt;$AF$5),'NTS ONLY_set_year'!$E$62,"- -"),IF(D30&gt;$AF$5,$AG$5,IF(D30&gt;D29+1,$AG$6,IF(D30&lt;D29,$AG$7,Y30))))</f>
        <v>- -</v>
      </c>
      <c r="H30" s="532"/>
      <c r="I30" s="621"/>
      <c r="J30" s="534"/>
      <c r="K30" s="555"/>
      <c r="L30" s="556"/>
      <c r="M30" s="557" t="str">
        <f t="shared" si="3"/>
        <v/>
      </c>
      <c r="N30" s="558"/>
      <c r="O30" s="559"/>
      <c r="P30" s="560"/>
      <c r="Q30" s="559"/>
      <c r="R30" s="18" t="str">
        <f t="shared" si="12"/>
        <v/>
      </c>
      <c r="S30" s="36"/>
      <c r="T30" s="120" t="str">
        <f ca="1">INDEX('NTS ONLY_set_year'!E:E,MATCH(TEXT($X30,"Ddd"),'NTS ONLY_set_year'!C:C,0))</f>
        <v>Dim</v>
      </c>
      <c r="U30" s="186" t="str">
        <f t="shared" ca="1" si="13"/>
        <v>juin</v>
      </c>
      <c r="X30" s="347">
        <f t="shared" ca="1" si="17"/>
        <v>46173</v>
      </c>
      <c r="Y30" s="452" t="str">
        <f t="shared" ca="1" si="14"/>
        <v>Dim. juin , 2026</v>
      </c>
      <c r="Z30" s="143">
        <f t="shared" ca="1" si="4"/>
        <v>30</v>
      </c>
      <c r="AA30" s="348">
        <f t="shared" ca="1" si="5"/>
        <v>6</v>
      </c>
      <c r="AB30" s="168">
        <f t="shared" ca="1" si="15"/>
        <v>0</v>
      </c>
      <c r="AF30" s="349">
        <f t="shared" ca="1" si="6"/>
        <v>99</v>
      </c>
      <c r="AG30" s="350">
        <f ca="1">MIN(AF30:AF$195)</f>
        <v>99</v>
      </c>
      <c r="AH30" s="121" t="b">
        <f t="shared" si="7"/>
        <v>0</v>
      </c>
      <c r="AJ30" s="191">
        <f t="shared" ca="1" si="8"/>
        <v>0</v>
      </c>
      <c r="AK30" s="168">
        <f>MAX(L$20:L29)</f>
        <v>0</v>
      </c>
      <c r="AL30" s="121" t="str">
        <f t="shared" si="18"/>
        <v>- -</v>
      </c>
      <c r="AM30" s="121">
        <f>MIN(K31:K$194)</f>
        <v>0</v>
      </c>
      <c r="AN30" s="352" t="str">
        <f t="shared" si="19"/>
        <v>- -</v>
      </c>
      <c r="AP30" s="352">
        <f t="shared" si="16"/>
        <v>999</v>
      </c>
      <c r="AQ30" s="143">
        <f t="shared" ca="1" si="9"/>
        <v>1</v>
      </c>
      <c r="AR30" s="143">
        <f t="shared" ca="1" si="10"/>
        <v>0</v>
      </c>
      <c r="AU30" s="281" t="str">
        <f>IF($C30=$AB$15,'NTS ONLY_set_year'!$E$143," ")&amp;$D30</f>
        <v xml:space="preserve"> </v>
      </c>
      <c r="AV30" s="121">
        <f t="shared" ca="1" si="21"/>
        <v>0</v>
      </c>
      <c r="AW30" s="198">
        <f t="shared" ca="1" si="11"/>
        <v>0</v>
      </c>
      <c r="BM30" s="352">
        <f t="shared" si="20"/>
        <v>1</v>
      </c>
      <c r="BN30" s="281">
        <f t="shared" si="20"/>
        <v>1</v>
      </c>
      <c r="BQ30" s="251"/>
      <c r="BR30" s="7"/>
      <c r="BS30" s="7"/>
      <c r="BT30" s="7"/>
      <c r="IU30" s="16"/>
    </row>
    <row r="31" spans="2:255" ht="13.2">
      <c r="B31" s="9">
        <v>12</v>
      </c>
      <c r="C31" s="17"/>
      <c r="D31" s="72"/>
      <c r="E31" s="76"/>
      <c r="F31" s="76"/>
      <c r="G31" s="76" t="str">
        <f ca="1">IF(ISBLANK(D31),IF(AND(ISNUMBER(D30),D30&lt;$AF$5),'NTS ONLY_set_year'!$E$62,"- -"),IF(D31&gt;$AF$5,$AG$5,IF(D31&gt;D30+1,$AG$6,IF(D31&lt;D30,$AG$7,Y31))))</f>
        <v>- -</v>
      </c>
      <c r="H31" s="532"/>
      <c r="I31" s="621"/>
      <c r="J31" s="534"/>
      <c r="K31" s="555"/>
      <c r="L31" s="556"/>
      <c r="M31" s="557" t="str">
        <f t="shared" si="3"/>
        <v/>
      </c>
      <c r="N31" s="558"/>
      <c r="O31" s="559"/>
      <c r="P31" s="560"/>
      <c r="Q31" s="559"/>
      <c r="R31" s="18" t="str">
        <f t="shared" si="12"/>
        <v/>
      </c>
      <c r="S31" s="36"/>
      <c r="T31" s="120" t="str">
        <f ca="1">INDEX('NTS ONLY_set_year'!E:E,MATCH(TEXT($X31,"Ddd"),'NTS ONLY_set_year'!C:C,0))</f>
        <v>Dim</v>
      </c>
      <c r="U31" s="186" t="str">
        <f t="shared" ca="1" si="13"/>
        <v>juin</v>
      </c>
      <c r="X31" s="347">
        <f t="shared" ca="1" si="17"/>
        <v>46173</v>
      </c>
      <c r="Y31" s="452" t="str">
        <f t="shared" ca="1" si="14"/>
        <v>Dim. juin , 2026</v>
      </c>
      <c r="Z31" s="143">
        <f t="shared" ca="1" si="4"/>
        <v>30</v>
      </c>
      <c r="AA31" s="348">
        <f t="shared" ca="1" si="5"/>
        <v>6</v>
      </c>
      <c r="AB31" s="168">
        <f t="shared" ca="1" si="15"/>
        <v>0</v>
      </c>
      <c r="AF31" s="349">
        <f t="shared" ca="1" si="6"/>
        <v>99</v>
      </c>
      <c r="AG31" s="350">
        <f ca="1">MIN(AF31:AF$195)</f>
        <v>99</v>
      </c>
      <c r="AH31" s="121" t="b">
        <f t="shared" si="7"/>
        <v>0</v>
      </c>
      <c r="AJ31" s="191">
        <f t="shared" ca="1" si="8"/>
        <v>0</v>
      </c>
      <c r="AK31" s="168">
        <f>MAX(L$20:L30)</f>
        <v>0</v>
      </c>
      <c r="AL31" s="121" t="str">
        <f t="shared" si="18"/>
        <v>- -</v>
      </c>
      <c r="AM31" s="121">
        <f>MIN(K32:K$194)</f>
        <v>0</v>
      </c>
      <c r="AN31" s="352" t="str">
        <f t="shared" si="19"/>
        <v>- -</v>
      </c>
      <c r="AP31" s="352">
        <f t="shared" si="16"/>
        <v>999</v>
      </c>
      <c r="AQ31" s="143">
        <f t="shared" ca="1" si="9"/>
        <v>1</v>
      </c>
      <c r="AR31" s="143">
        <f t="shared" ca="1" si="10"/>
        <v>0</v>
      </c>
      <c r="AU31" s="281" t="str">
        <f>IF($C31=$AB$15,'NTS ONLY_set_year'!$E$143," ")&amp;$D31</f>
        <v xml:space="preserve"> </v>
      </c>
      <c r="AV31" s="121">
        <f t="shared" ca="1" si="21"/>
        <v>0</v>
      </c>
      <c r="AW31" s="198">
        <f t="shared" ca="1" si="11"/>
        <v>0</v>
      </c>
      <c r="BM31" s="352">
        <f t="shared" si="20"/>
        <v>1</v>
      </c>
      <c r="BN31" s="281">
        <f t="shared" si="20"/>
        <v>1</v>
      </c>
      <c r="BQ31" s="251"/>
      <c r="BR31" s="7"/>
      <c r="BS31" s="7"/>
      <c r="BT31" s="7"/>
      <c r="IU31" s="16"/>
    </row>
    <row r="32" spans="2:255" ht="13.2">
      <c r="B32" s="9">
        <v>13</v>
      </c>
      <c r="C32" s="17"/>
      <c r="D32" s="72"/>
      <c r="E32" s="76"/>
      <c r="F32" s="76"/>
      <c r="G32" s="76" t="str">
        <f ca="1">IF(ISBLANK(D32),IF(AND(ISNUMBER(D31),D31&lt;$AF$5),'NTS ONLY_set_year'!$E$62,"- -"),IF(D32&gt;$AF$5,$AG$5,IF(D32&gt;D31+1,$AG$6,IF(D32&lt;D31,$AG$7,Y32))))</f>
        <v>- -</v>
      </c>
      <c r="H32" s="532"/>
      <c r="I32" s="621"/>
      <c r="J32" s="534"/>
      <c r="K32" s="555"/>
      <c r="L32" s="556"/>
      <c r="M32" s="557" t="str">
        <f t="shared" si="3"/>
        <v/>
      </c>
      <c r="N32" s="558"/>
      <c r="O32" s="559"/>
      <c r="P32" s="560"/>
      <c r="Q32" s="559"/>
      <c r="R32" s="18" t="str">
        <f t="shared" si="12"/>
        <v/>
      </c>
      <c r="S32" s="36"/>
      <c r="T32" s="120" t="str">
        <f ca="1">INDEX('NTS ONLY_set_year'!E:E,MATCH(TEXT($X32,"Ddd"),'NTS ONLY_set_year'!C:C,0))</f>
        <v>Dim</v>
      </c>
      <c r="U32" s="186" t="str">
        <f t="shared" ca="1" si="13"/>
        <v>juin</v>
      </c>
      <c r="X32" s="347">
        <f t="shared" ca="1" si="17"/>
        <v>46173</v>
      </c>
      <c r="Y32" s="452" t="str">
        <f t="shared" ca="1" si="14"/>
        <v>Dim. juin , 2026</v>
      </c>
      <c r="Z32" s="143">
        <f t="shared" ca="1" si="4"/>
        <v>30</v>
      </c>
      <c r="AA32" s="348">
        <f t="shared" ca="1" si="5"/>
        <v>6</v>
      </c>
      <c r="AB32" s="168">
        <f t="shared" ca="1" si="15"/>
        <v>0</v>
      </c>
      <c r="AF32" s="349">
        <f t="shared" ca="1" si="6"/>
        <v>99</v>
      </c>
      <c r="AG32" s="350">
        <f ca="1">MIN(AF32:AF$195)</f>
        <v>99</v>
      </c>
      <c r="AH32" s="121" t="b">
        <f t="shared" si="7"/>
        <v>0</v>
      </c>
      <c r="AJ32" s="191">
        <f t="shared" ca="1" si="8"/>
        <v>0</v>
      </c>
      <c r="AK32" s="168">
        <f>MAX(L$20:L31)</f>
        <v>0</v>
      </c>
      <c r="AL32" s="121" t="str">
        <f t="shared" si="18"/>
        <v>- -</v>
      </c>
      <c r="AM32" s="121">
        <f>MIN(K33:K$194)</f>
        <v>0</v>
      </c>
      <c r="AN32" s="352" t="str">
        <f t="shared" si="19"/>
        <v>- -</v>
      </c>
      <c r="AP32" s="352">
        <f t="shared" si="16"/>
        <v>999</v>
      </c>
      <c r="AQ32" s="143">
        <f t="shared" ca="1" si="9"/>
        <v>1</v>
      </c>
      <c r="AR32" s="143">
        <f t="shared" ca="1" si="10"/>
        <v>0</v>
      </c>
      <c r="AU32" s="281" t="str">
        <f>IF($C32=$AB$15,'NTS ONLY_set_year'!$E$143," ")&amp;$D32</f>
        <v xml:space="preserve"> </v>
      </c>
      <c r="AV32" s="121">
        <f t="shared" ca="1" si="21"/>
        <v>0</v>
      </c>
      <c r="AW32" s="198">
        <f t="shared" ca="1" si="11"/>
        <v>0</v>
      </c>
      <c r="BM32" s="352">
        <f t="shared" si="20"/>
        <v>1</v>
      </c>
      <c r="BN32" s="281">
        <f t="shared" si="20"/>
        <v>1</v>
      </c>
      <c r="BQ32" s="251"/>
      <c r="BR32" s="7"/>
      <c r="BS32" s="7"/>
      <c r="BT32" s="7"/>
      <c r="IU32" s="16"/>
    </row>
    <row r="33" spans="2:255" ht="13.2">
      <c r="B33" s="9">
        <v>14</v>
      </c>
      <c r="C33" s="17"/>
      <c r="D33" s="72"/>
      <c r="E33" s="76"/>
      <c r="F33" s="76"/>
      <c r="G33" s="76" t="str">
        <f ca="1">IF(ISBLANK(D33),IF(AND(ISNUMBER(D32),D32&lt;$AF$5),'NTS ONLY_set_year'!$E$62,"- -"),IF(D33&gt;$AF$5,$AG$5,IF(D33&gt;D32+1,$AG$6,IF(D33&lt;D32,$AG$7,Y33))))</f>
        <v>- -</v>
      </c>
      <c r="H33" s="532"/>
      <c r="I33" s="621"/>
      <c r="J33" s="534"/>
      <c r="K33" s="555"/>
      <c r="L33" s="556"/>
      <c r="M33" s="557" t="str">
        <f t="shared" si="3"/>
        <v/>
      </c>
      <c r="N33" s="558"/>
      <c r="O33" s="559"/>
      <c r="P33" s="560"/>
      <c r="Q33" s="559"/>
      <c r="R33" s="18" t="str">
        <f t="shared" si="12"/>
        <v/>
      </c>
      <c r="S33" s="36"/>
      <c r="T33" s="120" t="str">
        <f ca="1">INDEX('NTS ONLY_set_year'!E:E,MATCH(TEXT($X33,"Ddd"),'NTS ONLY_set_year'!C:C,0))</f>
        <v>Dim</v>
      </c>
      <c r="U33" s="186" t="str">
        <f t="shared" ca="1" si="13"/>
        <v>juin</v>
      </c>
      <c r="X33" s="347">
        <f t="shared" ca="1" si="17"/>
        <v>46173</v>
      </c>
      <c r="Y33" s="452" t="str">
        <f t="shared" ca="1" si="14"/>
        <v>Dim. juin , 2026</v>
      </c>
      <c r="Z33" s="143">
        <f t="shared" ca="1" si="4"/>
        <v>30</v>
      </c>
      <c r="AA33" s="348">
        <f t="shared" ca="1" si="5"/>
        <v>6</v>
      </c>
      <c r="AB33" s="168">
        <f t="shared" ca="1" si="15"/>
        <v>0</v>
      </c>
      <c r="AF33" s="349">
        <f t="shared" ca="1" si="6"/>
        <v>99</v>
      </c>
      <c r="AG33" s="350">
        <f ca="1">MIN(AF33:AF$195)</f>
        <v>99</v>
      </c>
      <c r="AH33" s="121" t="b">
        <f t="shared" si="7"/>
        <v>0</v>
      </c>
      <c r="AJ33" s="191">
        <f t="shared" ca="1" si="8"/>
        <v>0</v>
      </c>
      <c r="AK33" s="168">
        <f>MAX(L$20:L32)</f>
        <v>0</v>
      </c>
      <c r="AL33" s="121" t="str">
        <f t="shared" si="18"/>
        <v>- -</v>
      </c>
      <c r="AM33" s="121">
        <f>MIN(K34:K$194)</f>
        <v>0</v>
      </c>
      <c r="AN33" s="352" t="str">
        <f t="shared" si="19"/>
        <v>- -</v>
      </c>
      <c r="AP33" s="352">
        <f t="shared" si="16"/>
        <v>999</v>
      </c>
      <c r="AQ33" s="143">
        <f t="shared" ca="1" si="9"/>
        <v>1</v>
      </c>
      <c r="AR33" s="143">
        <f t="shared" ca="1" si="10"/>
        <v>0</v>
      </c>
      <c r="AU33" s="281" t="str">
        <f>IF($C33=$AB$15,'NTS ONLY_set_year'!$E$143," ")&amp;$D33</f>
        <v xml:space="preserve"> </v>
      </c>
      <c r="AV33" s="121">
        <f t="shared" ca="1" si="21"/>
        <v>0</v>
      </c>
      <c r="AW33" s="198">
        <f t="shared" ca="1" si="11"/>
        <v>0</v>
      </c>
      <c r="BM33" s="352">
        <f t="shared" si="20"/>
        <v>1</v>
      </c>
      <c r="BN33" s="281">
        <f t="shared" si="20"/>
        <v>1</v>
      </c>
      <c r="BQ33" s="251"/>
      <c r="BR33" s="7"/>
      <c r="BS33" s="7"/>
      <c r="BT33" s="7"/>
      <c r="IU33" s="16"/>
    </row>
    <row r="34" spans="2:255" ht="13.2">
      <c r="B34" s="9">
        <v>15</v>
      </c>
      <c r="C34" s="17"/>
      <c r="D34" s="72"/>
      <c r="E34" s="76"/>
      <c r="F34" s="76"/>
      <c r="G34" s="76" t="str">
        <f ca="1">IF(ISBLANK(D34),IF(AND(ISNUMBER(D33),D33&lt;$AF$5),'NTS ONLY_set_year'!$E$62,"- -"),IF(D34&gt;$AF$5,$AG$5,IF(D34&gt;D33+1,$AG$6,IF(D34&lt;D33,$AG$7,Y34))))</f>
        <v>- -</v>
      </c>
      <c r="H34" s="532"/>
      <c r="I34" s="621"/>
      <c r="J34" s="534"/>
      <c r="K34" s="555"/>
      <c r="L34" s="556"/>
      <c r="M34" s="557" t="str">
        <f t="shared" si="3"/>
        <v/>
      </c>
      <c r="N34" s="558"/>
      <c r="O34" s="559"/>
      <c r="P34" s="560"/>
      <c r="Q34" s="559"/>
      <c r="R34" s="18" t="str">
        <f t="shared" si="12"/>
        <v/>
      </c>
      <c r="S34" s="36"/>
      <c r="T34" s="120" t="str">
        <f ca="1">INDEX('NTS ONLY_set_year'!E:E,MATCH(TEXT($X34,"Ddd"),'NTS ONLY_set_year'!C:C,0))</f>
        <v>Dim</v>
      </c>
      <c r="U34" s="186" t="str">
        <f t="shared" ca="1" si="13"/>
        <v>juin</v>
      </c>
      <c r="X34" s="347">
        <f t="shared" ca="1" si="17"/>
        <v>46173</v>
      </c>
      <c r="Y34" s="452" t="str">
        <f t="shared" ca="1" si="14"/>
        <v>Dim. juin , 2026</v>
      </c>
      <c r="Z34" s="143">
        <f t="shared" ca="1" si="4"/>
        <v>30</v>
      </c>
      <c r="AA34" s="348">
        <f t="shared" ca="1" si="5"/>
        <v>6</v>
      </c>
      <c r="AB34" s="168">
        <f t="shared" ca="1" si="15"/>
        <v>0</v>
      </c>
      <c r="AF34" s="349">
        <f t="shared" ca="1" si="6"/>
        <v>99</v>
      </c>
      <c r="AG34" s="350">
        <f ca="1">MIN(AF34:AF$195)</f>
        <v>99</v>
      </c>
      <c r="AH34" s="121" t="b">
        <f t="shared" si="7"/>
        <v>0</v>
      </c>
      <c r="AJ34" s="191">
        <f t="shared" ca="1" si="8"/>
        <v>0</v>
      </c>
      <c r="AK34" s="168">
        <f>MAX(L$20:L33)</f>
        <v>0</v>
      </c>
      <c r="AL34" s="121" t="str">
        <f t="shared" si="18"/>
        <v>- -</v>
      </c>
      <c r="AM34" s="121">
        <f>MIN(K35:K$194)</f>
        <v>0</v>
      </c>
      <c r="AN34" s="352" t="str">
        <f t="shared" si="19"/>
        <v>- -</v>
      </c>
      <c r="AP34" s="352">
        <f t="shared" si="16"/>
        <v>999</v>
      </c>
      <c r="AQ34" s="143">
        <f t="shared" ca="1" si="9"/>
        <v>1</v>
      </c>
      <c r="AR34" s="143">
        <f t="shared" ca="1" si="10"/>
        <v>0</v>
      </c>
      <c r="AU34" s="281" t="str">
        <f>IF($C34=$AB$15,'NTS ONLY_set_year'!$E$143," ")&amp;$D34</f>
        <v xml:space="preserve"> </v>
      </c>
      <c r="AV34" s="121">
        <f t="shared" ca="1" si="21"/>
        <v>0</v>
      </c>
      <c r="AW34" s="198">
        <f t="shared" ca="1" si="11"/>
        <v>0</v>
      </c>
      <c r="BM34" s="352">
        <f t="shared" si="20"/>
        <v>1</v>
      </c>
      <c r="BN34" s="281">
        <f t="shared" si="20"/>
        <v>1</v>
      </c>
      <c r="BQ34" s="251"/>
      <c r="BR34" s="7"/>
      <c r="BS34" s="7"/>
      <c r="BT34" s="7"/>
      <c r="IU34" s="16"/>
    </row>
    <row r="35" spans="2:255" ht="13.2">
      <c r="B35" s="9">
        <v>16</v>
      </c>
      <c r="C35" s="17"/>
      <c r="D35" s="72"/>
      <c r="E35" s="76"/>
      <c r="F35" s="76"/>
      <c r="G35" s="76" t="str">
        <f ca="1">IF(ISBLANK(D35),IF(AND(ISNUMBER(D34),D34&lt;$AF$5),'NTS ONLY_set_year'!$E$62,"- -"),IF(D35&gt;$AF$5,$AG$5,IF(D35&gt;D34+1,$AG$6,IF(D35&lt;D34,$AG$7,Y35))))</f>
        <v>- -</v>
      </c>
      <c r="H35" s="532"/>
      <c r="I35" s="621"/>
      <c r="J35" s="534"/>
      <c r="K35" s="555"/>
      <c r="L35" s="556"/>
      <c r="M35" s="557" t="str">
        <f t="shared" si="3"/>
        <v/>
      </c>
      <c r="N35" s="558"/>
      <c r="O35" s="559"/>
      <c r="P35" s="560"/>
      <c r="Q35" s="559"/>
      <c r="R35" s="18" t="str">
        <f t="shared" si="12"/>
        <v/>
      </c>
      <c r="S35" s="36"/>
      <c r="T35" s="120" t="str">
        <f ca="1">INDEX('NTS ONLY_set_year'!E:E,MATCH(TEXT($X35,"Ddd"),'NTS ONLY_set_year'!C:C,0))</f>
        <v>Dim</v>
      </c>
      <c r="U35" s="186" t="str">
        <f t="shared" ca="1" si="13"/>
        <v>juin</v>
      </c>
      <c r="X35" s="347">
        <f t="shared" ca="1" si="17"/>
        <v>46173</v>
      </c>
      <c r="Y35" s="452" t="str">
        <f t="shared" ca="1" si="14"/>
        <v>Dim. juin , 2026</v>
      </c>
      <c r="Z35" s="143">
        <f t="shared" ca="1" si="4"/>
        <v>30</v>
      </c>
      <c r="AA35" s="348">
        <f t="shared" ca="1" si="5"/>
        <v>6</v>
      </c>
      <c r="AB35" s="168">
        <f t="shared" ca="1" si="15"/>
        <v>0</v>
      </c>
      <c r="AF35" s="349">
        <f t="shared" ca="1" si="6"/>
        <v>99</v>
      </c>
      <c r="AG35" s="350">
        <f ca="1">MIN(AF35:AF$195)</f>
        <v>99</v>
      </c>
      <c r="AH35" s="121" t="b">
        <f t="shared" si="7"/>
        <v>0</v>
      </c>
      <c r="AJ35" s="191">
        <f t="shared" ca="1" si="8"/>
        <v>0</v>
      </c>
      <c r="AK35" s="168">
        <f>MAX(L$20:L34)</f>
        <v>0</v>
      </c>
      <c r="AL35" s="121" t="str">
        <f t="shared" si="18"/>
        <v>- -</v>
      </c>
      <c r="AM35" s="121">
        <f>MIN(K36:K$194)</f>
        <v>0</v>
      </c>
      <c r="AN35" s="352" t="str">
        <f t="shared" si="19"/>
        <v>- -</v>
      </c>
      <c r="AP35" s="352">
        <f t="shared" si="16"/>
        <v>999</v>
      </c>
      <c r="AQ35" s="143">
        <f t="shared" ca="1" si="9"/>
        <v>1</v>
      </c>
      <c r="AR35" s="143">
        <f t="shared" ca="1" si="10"/>
        <v>0</v>
      </c>
      <c r="AU35" s="281" t="str">
        <f>IF($C35=$AB$15,'NTS ONLY_set_year'!$E$143," ")&amp;$D35</f>
        <v xml:space="preserve"> </v>
      </c>
      <c r="AV35" s="121">
        <f t="shared" ca="1" si="21"/>
        <v>0</v>
      </c>
      <c r="AW35" s="198">
        <f t="shared" ca="1" si="11"/>
        <v>0</v>
      </c>
      <c r="BM35" s="352">
        <f t="shared" si="20"/>
        <v>1</v>
      </c>
      <c r="BN35" s="281">
        <f t="shared" si="20"/>
        <v>1</v>
      </c>
      <c r="BQ35" s="251"/>
      <c r="BR35" s="7"/>
      <c r="BS35" s="7"/>
      <c r="BT35" s="7"/>
      <c r="IU35" s="16"/>
    </row>
    <row r="36" spans="2:255" ht="13.2">
      <c r="B36" s="9">
        <v>17</v>
      </c>
      <c r="C36" s="17"/>
      <c r="D36" s="72"/>
      <c r="E36" s="76"/>
      <c r="F36" s="76"/>
      <c r="G36" s="76" t="str">
        <f ca="1">IF(ISBLANK(D36),IF(AND(ISNUMBER(D35),D35&lt;$AF$5),'NTS ONLY_set_year'!$E$62,"- -"),IF(D36&gt;$AF$5,$AG$5,IF(D36&gt;D35+1,$AG$6,IF(D36&lt;D35,$AG$7,Y36))))</f>
        <v>- -</v>
      </c>
      <c r="H36" s="532"/>
      <c r="I36" s="621"/>
      <c r="J36" s="534"/>
      <c r="K36" s="555"/>
      <c r="L36" s="556"/>
      <c r="M36" s="557" t="str">
        <f t="shared" si="3"/>
        <v/>
      </c>
      <c r="N36" s="558"/>
      <c r="O36" s="559"/>
      <c r="P36" s="560"/>
      <c r="Q36" s="559"/>
      <c r="R36" s="18" t="str">
        <f t="shared" si="12"/>
        <v/>
      </c>
      <c r="S36" s="36"/>
      <c r="T36" s="120" t="str">
        <f ca="1">INDEX('NTS ONLY_set_year'!E:E,MATCH(TEXT($X36,"Ddd"),'NTS ONLY_set_year'!C:C,0))</f>
        <v>Dim</v>
      </c>
      <c r="U36" s="186" t="str">
        <f t="shared" ca="1" si="13"/>
        <v>juin</v>
      </c>
      <c r="X36" s="347">
        <f t="shared" ca="1" si="17"/>
        <v>46173</v>
      </c>
      <c r="Y36" s="452" t="str">
        <f t="shared" ca="1" si="14"/>
        <v>Dim. juin , 2026</v>
      </c>
      <c r="Z36" s="143">
        <f t="shared" ca="1" si="4"/>
        <v>30</v>
      </c>
      <c r="AA36" s="348">
        <f t="shared" ca="1" si="5"/>
        <v>6</v>
      </c>
      <c r="AB36" s="168">
        <f t="shared" ca="1" si="15"/>
        <v>0</v>
      </c>
      <c r="AF36" s="349">
        <f t="shared" ca="1" si="6"/>
        <v>99</v>
      </c>
      <c r="AG36" s="350">
        <f ca="1">MIN(AF36:AF$195)</f>
        <v>99</v>
      </c>
      <c r="AH36" s="121" t="b">
        <f t="shared" si="7"/>
        <v>0</v>
      </c>
      <c r="AJ36" s="191">
        <f t="shared" ca="1" si="8"/>
        <v>0</v>
      </c>
      <c r="AK36" s="168">
        <f>MAX(L$20:L35)</f>
        <v>0</v>
      </c>
      <c r="AL36" s="121" t="str">
        <f t="shared" si="18"/>
        <v>- -</v>
      </c>
      <c r="AM36" s="121">
        <f>MIN(K37:K$194)</f>
        <v>0</v>
      </c>
      <c r="AN36" s="352" t="str">
        <f t="shared" si="19"/>
        <v>- -</v>
      </c>
      <c r="AP36" s="352">
        <f t="shared" si="16"/>
        <v>999</v>
      </c>
      <c r="AQ36" s="143">
        <f t="shared" ca="1" si="9"/>
        <v>1</v>
      </c>
      <c r="AR36" s="143">
        <f t="shared" ca="1" si="10"/>
        <v>0</v>
      </c>
      <c r="AU36" s="281" t="str">
        <f>IF($C36=$AB$15,'NTS ONLY_set_year'!$E$143," ")&amp;$D36</f>
        <v xml:space="preserve"> </v>
      </c>
      <c r="AV36" s="121">
        <f t="shared" ca="1" si="21"/>
        <v>0</v>
      </c>
      <c r="AW36" s="198">
        <f t="shared" ca="1" si="11"/>
        <v>0</v>
      </c>
      <c r="BM36" s="352">
        <f t="shared" si="20"/>
        <v>1</v>
      </c>
      <c r="BN36" s="281">
        <f t="shared" si="20"/>
        <v>1</v>
      </c>
      <c r="BQ36" s="251"/>
      <c r="BR36" s="7"/>
      <c r="BS36" s="7"/>
      <c r="BT36" s="7"/>
      <c r="IU36" s="16"/>
    </row>
    <row r="37" spans="2:255" ht="13.2">
      <c r="B37" s="9">
        <v>18</v>
      </c>
      <c r="C37" s="17"/>
      <c r="D37" s="72"/>
      <c r="E37" s="76"/>
      <c r="F37" s="76"/>
      <c r="G37" s="76" t="str">
        <f ca="1">IF(ISBLANK(D37),IF(AND(ISNUMBER(D36),D36&lt;$AF$5),'NTS ONLY_set_year'!$E$62,"- -"),IF(D37&gt;$AF$5,$AG$5,IF(D37&gt;D36+1,$AG$6,IF(D37&lt;D36,$AG$7,Y37))))</f>
        <v>- -</v>
      </c>
      <c r="H37" s="532"/>
      <c r="I37" s="621"/>
      <c r="J37" s="534"/>
      <c r="K37" s="555"/>
      <c r="L37" s="556"/>
      <c r="M37" s="557" t="str">
        <f t="shared" si="3"/>
        <v/>
      </c>
      <c r="N37" s="558"/>
      <c r="O37" s="559"/>
      <c r="P37" s="560"/>
      <c r="Q37" s="559"/>
      <c r="R37" s="18" t="str">
        <f t="shared" si="12"/>
        <v/>
      </c>
      <c r="S37" s="36"/>
      <c r="T37" s="120" t="str">
        <f ca="1">INDEX('NTS ONLY_set_year'!E:E,MATCH(TEXT($X37,"Ddd"),'NTS ONLY_set_year'!C:C,0))</f>
        <v>Dim</v>
      </c>
      <c r="U37" s="186" t="str">
        <f t="shared" ca="1" si="13"/>
        <v>juin</v>
      </c>
      <c r="X37" s="347">
        <f t="shared" ca="1" si="17"/>
        <v>46173</v>
      </c>
      <c r="Y37" s="452" t="str">
        <f t="shared" ca="1" si="14"/>
        <v>Dim. juin , 2026</v>
      </c>
      <c r="Z37" s="143">
        <f t="shared" ca="1" si="4"/>
        <v>30</v>
      </c>
      <c r="AA37" s="348">
        <f t="shared" ca="1" si="5"/>
        <v>6</v>
      </c>
      <c r="AB37" s="168">
        <f t="shared" ca="1" si="15"/>
        <v>0</v>
      </c>
      <c r="AF37" s="349">
        <f t="shared" ca="1" si="6"/>
        <v>99</v>
      </c>
      <c r="AG37" s="350">
        <f ca="1">MIN(AF37:AF$195)</f>
        <v>99</v>
      </c>
      <c r="AH37" s="121" t="b">
        <f t="shared" si="7"/>
        <v>0</v>
      </c>
      <c r="AJ37" s="191">
        <f t="shared" ca="1" si="8"/>
        <v>0</v>
      </c>
      <c r="AK37" s="168">
        <f>MAX(L$20:L36)</f>
        <v>0</v>
      </c>
      <c r="AL37" s="121" t="str">
        <f t="shared" si="18"/>
        <v>- -</v>
      </c>
      <c r="AM37" s="121">
        <f>MIN(K38:K$194)</f>
        <v>0</v>
      </c>
      <c r="AN37" s="352" t="str">
        <f t="shared" si="19"/>
        <v>- -</v>
      </c>
      <c r="AP37" s="352">
        <f t="shared" si="16"/>
        <v>999</v>
      </c>
      <c r="AQ37" s="143">
        <f t="shared" ca="1" si="9"/>
        <v>1</v>
      </c>
      <c r="AR37" s="143">
        <f t="shared" ca="1" si="10"/>
        <v>0</v>
      </c>
      <c r="AU37" s="281" t="str">
        <f>IF($C37=$AB$15,'NTS ONLY_set_year'!$E$143," ")&amp;$D37</f>
        <v xml:space="preserve"> </v>
      </c>
      <c r="AV37" s="121">
        <f t="shared" ca="1" si="21"/>
        <v>0</v>
      </c>
      <c r="AW37" s="198">
        <f t="shared" ca="1" si="11"/>
        <v>0</v>
      </c>
      <c r="BM37" s="352">
        <f t="shared" si="20"/>
        <v>1</v>
      </c>
      <c r="BN37" s="281">
        <f t="shared" si="20"/>
        <v>1</v>
      </c>
      <c r="BQ37" s="251"/>
      <c r="BR37" s="7"/>
      <c r="BS37" s="7"/>
      <c r="BT37" s="7"/>
      <c r="IU37" s="16"/>
    </row>
    <row r="38" spans="2:255" ht="13.2">
      <c r="B38" s="9">
        <v>19</v>
      </c>
      <c r="C38" s="17"/>
      <c r="D38" s="72"/>
      <c r="E38" s="76"/>
      <c r="F38" s="76"/>
      <c r="G38" s="76" t="str">
        <f ca="1">IF(ISBLANK(D38),IF(AND(ISNUMBER(D37),D37&lt;$AF$5),'NTS ONLY_set_year'!$E$62,"- -"),IF(D38&gt;$AF$5,$AG$5,IF(D38&gt;D37+1,$AG$6,IF(D38&lt;D37,$AG$7,Y38))))</f>
        <v>- -</v>
      </c>
      <c r="H38" s="532"/>
      <c r="I38" s="621"/>
      <c r="J38" s="534"/>
      <c r="K38" s="555"/>
      <c r="L38" s="556"/>
      <c r="M38" s="557" t="str">
        <f t="shared" si="3"/>
        <v/>
      </c>
      <c r="N38" s="558"/>
      <c r="O38" s="559"/>
      <c r="P38" s="560"/>
      <c r="Q38" s="559"/>
      <c r="R38" s="18" t="str">
        <f t="shared" si="12"/>
        <v/>
      </c>
      <c r="S38" s="36"/>
      <c r="T38" s="120" t="str">
        <f ca="1">INDEX('NTS ONLY_set_year'!E:E,MATCH(TEXT($X38,"Ddd"),'NTS ONLY_set_year'!C:C,0))</f>
        <v>Dim</v>
      </c>
      <c r="U38" s="186" t="str">
        <f t="shared" ca="1" si="13"/>
        <v>juin</v>
      </c>
      <c r="X38" s="347">
        <f t="shared" ca="1" si="17"/>
        <v>46173</v>
      </c>
      <c r="Y38" s="452" t="str">
        <f t="shared" ca="1" si="14"/>
        <v>Dim. juin , 2026</v>
      </c>
      <c r="Z38" s="143">
        <f t="shared" ca="1" si="4"/>
        <v>30</v>
      </c>
      <c r="AA38" s="348">
        <f t="shared" ca="1" si="5"/>
        <v>6</v>
      </c>
      <c r="AB38" s="168">
        <f t="shared" ca="1" si="15"/>
        <v>0</v>
      </c>
      <c r="AF38" s="349">
        <f t="shared" ca="1" si="6"/>
        <v>99</v>
      </c>
      <c r="AG38" s="350">
        <f ca="1">MIN(AF38:AF$195)</f>
        <v>99</v>
      </c>
      <c r="AH38" s="121" t="b">
        <f t="shared" si="7"/>
        <v>0</v>
      </c>
      <c r="AJ38" s="191">
        <f t="shared" ca="1" si="8"/>
        <v>0</v>
      </c>
      <c r="AK38" s="168">
        <f>MAX(L$20:L37)</f>
        <v>0</v>
      </c>
      <c r="AL38" s="121" t="str">
        <f t="shared" si="18"/>
        <v>- -</v>
      </c>
      <c r="AM38" s="121">
        <f>MIN(K39:K$194)</f>
        <v>0</v>
      </c>
      <c r="AN38" s="352" t="str">
        <f t="shared" si="19"/>
        <v>- -</v>
      </c>
      <c r="AP38" s="352">
        <f t="shared" si="16"/>
        <v>999</v>
      </c>
      <c r="AQ38" s="143">
        <f t="shared" ca="1" si="9"/>
        <v>1</v>
      </c>
      <c r="AR38" s="143">
        <f t="shared" ca="1" si="10"/>
        <v>0</v>
      </c>
      <c r="AU38" s="281" t="str">
        <f>IF($C38=$AB$15,'NTS ONLY_set_year'!$E$143," ")&amp;$D38</f>
        <v xml:space="preserve"> </v>
      </c>
      <c r="AV38" s="121">
        <f t="shared" ca="1" si="21"/>
        <v>0</v>
      </c>
      <c r="AW38" s="198">
        <f ca="1">IF(OR(D38&gt;$AF$5,D38&lt;1),0,1-AV38)</f>
        <v>0</v>
      </c>
      <c r="BM38" s="352">
        <f t="shared" si="20"/>
        <v>1</v>
      </c>
      <c r="BN38" s="281">
        <f t="shared" si="20"/>
        <v>1</v>
      </c>
      <c r="BQ38" s="251"/>
      <c r="BR38" s="7"/>
      <c r="BS38" s="7"/>
      <c r="BT38" s="7"/>
      <c r="IU38" s="16"/>
    </row>
    <row r="39" spans="2:255" ht="13.2">
      <c r="B39" s="9">
        <v>20</v>
      </c>
      <c r="C39" s="17"/>
      <c r="D39" s="72"/>
      <c r="E39" s="76"/>
      <c r="F39" s="76"/>
      <c r="G39" s="76" t="str">
        <f ca="1">IF(ISBLANK(D39),IF(AND(ISNUMBER(D38),D38&lt;$AF$5),'NTS ONLY_set_year'!$E$62,"- -"),IF(D39&gt;$AF$5,$AG$5,IF(D39&gt;D38+1,$AG$6,IF(D39&lt;D38,$AG$7,Y39))))</f>
        <v>- -</v>
      </c>
      <c r="H39" s="532"/>
      <c r="I39" s="621"/>
      <c r="J39" s="534"/>
      <c r="K39" s="555"/>
      <c r="L39" s="556"/>
      <c r="M39" s="557" t="str">
        <f t="shared" si="3"/>
        <v/>
      </c>
      <c r="N39" s="558"/>
      <c r="O39" s="559"/>
      <c r="P39" s="560"/>
      <c r="Q39" s="559"/>
      <c r="R39" s="18" t="str">
        <f t="shared" si="12"/>
        <v/>
      </c>
      <c r="S39" s="36"/>
      <c r="T39" s="120" t="str">
        <f ca="1">INDEX('NTS ONLY_set_year'!E:E,MATCH(TEXT($X39,"Ddd"),'NTS ONLY_set_year'!C:C,0))</f>
        <v>Dim</v>
      </c>
      <c r="U39" s="186" t="str">
        <f t="shared" ca="1" si="13"/>
        <v>juin</v>
      </c>
      <c r="X39" s="347">
        <f t="shared" ca="1" si="17"/>
        <v>46173</v>
      </c>
      <c r="Y39" s="452" t="str">
        <f t="shared" ca="1" si="14"/>
        <v>Dim. juin , 2026</v>
      </c>
      <c r="Z39" s="143">
        <f t="shared" ca="1" si="4"/>
        <v>30</v>
      </c>
      <c r="AA39" s="348">
        <f t="shared" ca="1" si="5"/>
        <v>6</v>
      </c>
      <c r="AB39" s="168">
        <f t="shared" ca="1" si="15"/>
        <v>0</v>
      </c>
      <c r="AF39" s="349">
        <f t="shared" ca="1" si="6"/>
        <v>99</v>
      </c>
      <c r="AG39" s="350">
        <f ca="1">MIN(AF39:AF$195)</f>
        <v>99</v>
      </c>
      <c r="AH39" s="121" t="b">
        <f t="shared" si="7"/>
        <v>0</v>
      </c>
      <c r="AJ39" s="191">
        <f t="shared" ca="1" si="8"/>
        <v>0</v>
      </c>
      <c r="AK39" s="168">
        <f>MAX(L$20:L38)</f>
        <v>0</v>
      </c>
      <c r="AL39" s="121" t="str">
        <f t="shared" si="18"/>
        <v>- -</v>
      </c>
      <c r="AM39" s="121">
        <f>MIN(K40:K$194)</f>
        <v>0</v>
      </c>
      <c r="AN39" s="352" t="str">
        <f t="shared" si="19"/>
        <v>- -</v>
      </c>
      <c r="AP39" s="352">
        <f t="shared" si="16"/>
        <v>999</v>
      </c>
      <c r="AQ39" s="143">
        <f t="shared" ca="1" si="9"/>
        <v>1</v>
      </c>
      <c r="AR39" s="143">
        <f t="shared" ca="1" si="10"/>
        <v>0</v>
      </c>
      <c r="AU39" s="281" t="str">
        <f>IF($C39=$AB$15,'NTS ONLY_set_year'!$E$143," ")&amp;$D39</f>
        <v xml:space="preserve"> </v>
      </c>
      <c r="AV39" s="121">
        <f t="shared" ca="1" si="21"/>
        <v>0</v>
      </c>
      <c r="AW39" s="198">
        <f t="shared" ref="AW39:AW102" ca="1" si="22">IF(OR(D39&gt;$AF$5,D39&lt;1),0,1-AV39)</f>
        <v>0</v>
      </c>
      <c r="BM39" s="352">
        <f t="shared" si="20"/>
        <v>1</v>
      </c>
      <c r="BN39" s="281">
        <f t="shared" si="20"/>
        <v>1</v>
      </c>
      <c r="BQ39" s="251"/>
      <c r="BR39" s="7"/>
      <c r="BS39" s="7"/>
      <c r="BT39" s="7"/>
      <c r="IU39" s="16"/>
    </row>
    <row r="40" spans="2:255" ht="13.2">
      <c r="B40" s="9">
        <v>21</v>
      </c>
      <c r="C40" s="17"/>
      <c r="D40" s="72"/>
      <c r="E40" s="76"/>
      <c r="F40" s="76"/>
      <c r="G40" s="76" t="str">
        <f ca="1">IF(ISBLANK(D40),IF(AND(ISNUMBER(D39),D39&lt;$AF$5),'NTS ONLY_set_year'!$E$62,"- -"),IF(D40&gt;$AF$5,$AG$5,IF(D40&gt;D39+1,$AG$6,IF(D40&lt;D39,$AG$7,Y40))))</f>
        <v>- -</v>
      </c>
      <c r="H40" s="532"/>
      <c r="I40" s="621"/>
      <c r="J40" s="534"/>
      <c r="K40" s="555"/>
      <c r="L40" s="556"/>
      <c r="M40" s="557" t="str">
        <f t="shared" si="3"/>
        <v/>
      </c>
      <c r="N40" s="558"/>
      <c r="O40" s="559"/>
      <c r="P40" s="560"/>
      <c r="Q40" s="559"/>
      <c r="R40" s="18" t="str">
        <f t="shared" si="12"/>
        <v/>
      </c>
      <c r="S40" s="36"/>
      <c r="T40" s="120" t="str">
        <f ca="1">INDEX('NTS ONLY_set_year'!E:E,MATCH(TEXT($X40,"Ddd"),'NTS ONLY_set_year'!C:C,0))</f>
        <v>Dim</v>
      </c>
      <c r="U40" s="186" t="str">
        <f t="shared" ca="1" si="13"/>
        <v>juin</v>
      </c>
      <c r="X40" s="347">
        <f t="shared" ca="1" si="17"/>
        <v>46173</v>
      </c>
      <c r="Y40" s="452" t="str">
        <f t="shared" ca="1" si="14"/>
        <v>Dim. juin , 2026</v>
      </c>
      <c r="Z40" s="143">
        <f t="shared" ca="1" si="4"/>
        <v>30</v>
      </c>
      <c r="AA40" s="348">
        <f t="shared" ca="1" si="5"/>
        <v>6</v>
      </c>
      <c r="AB40" s="168">
        <f t="shared" ca="1" si="15"/>
        <v>0</v>
      </c>
      <c r="AF40" s="349">
        <f t="shared" ca="1" si="6"/>
        <v>99</v>
      </c>
      <c r="AG40" s="350">
        <f ca="1">MIN(AF40:AF$195)</f>
        <v>99</v>
      </c>
      <c r="AH40" s="121" t="b">
        <f t="shared" si="7"/>
        <v>0</v>
      </c>
      <c r="AJ40" s="191">
        <f t="shared" ca="1" si="8"/>
        <v>0</v>
      </c>
      <c r="AK40" s="168">
        <f>MAX(L$20:L39)</f>
        <v>0</v>
      </c>
      <c r="AL40" s="121" t="str">
        <f t="shared" si="18"/>
        <v>- -</v>
      </c>
      <c r="AM40" s="121">
        <f>MIN(K41:K$194)</f>
        <v>0</v>
      </c>
      <c r="AN40" s="352" t="str">
        <f t="shared" si="19"/>
        <v>- -</v>
      </c>
      <c r="AP40" s="352">
        <f t="shared" si="16"/>
        <v>999</v>
      </c>
      <c r="AQ40" s="143">
        <f t="shared" ca="1" si="9"/>
        <v>1</v>
      </c>
      <c r="AR40" s="143">
        <f t="shared" ca="1" si="10"/>
        <v>0</v>
      </c>
      <c r="AU40" s="281" t="str">
        <f>IF($C40=$AB$15,'NTS ONLY_set_year'!$E$143," ")&amp;$D40</f>
        <v xml:space="preserve"> </v>
      </c>
      <c r="AV40" s="121">
        <f t="shared" ca="1" si="21"/>
        <v>0</v>
      </c>
      <c r="AW40" s="198">
        <f t="shared" ca="1" si="22"/>
        <v>0</v>
      </c>
      <c r="BM40" s="352">
        <f t="shared" si="20"/>
        <v>1</v>
      </c>
      <c r="BN40" s="281">
        <f t="shared" si="20"/>
        <v>1</v>
      </c>
      <c r="BQ40" s="251"/>
      <c r="BR40" s="7"/>
      <c r="BS40" s="7"/>
      <c r="BT40" s="7"/>
      <c r="IU40" s="16"/>
    </row>
    <row r="41" spans="2:255" ht="13.2">
      <c r="B41" s="9">
        <v>22</v>
      </c>
      <c r="C41" s="17"/>
      <c r="D41" s="72"/>
      <c r="E41" s="76"/>
      <c r="F41" s="76"/>
      <c r="G41" s="76" t="str">
        <f ca="1">IF(ISBLANK(D41),IF(AND(ISNUMBER(D40),D40&lt;$AF$5),'NTS ONLY_set_year'!$E$62,"- -"),IF(D41&gt;$AF$5,$AG$5,IF(D41&gt;D40+1,$AG$6,IF(D41&lt;D40,$AG$7,Y41))))</f>
        <v>- -</v>
      </c>
      <c r="H41" s="532"/>
      <c r="I41" s="621"/>
      <c r="J41" s="534"/>
      <c r="K41" s="555"/>
      <c r="L41" s="556"/>
      <c r="M41" s="557" t="str">
        <f t="shared" si="3"/>
        <v/>
      </c>
      <c r="N41" s="558"/>
      <c r="O41" s="559"/>
      <c r="P41" s="560"/>
      <c r="Q41" s="559"/>
      <c r="R41" s="18" t="str">
        <f t="shared" si="12"/>
        <v/>
      </c>
      <c r="S41" s="36"/>
      <c r="T41" s="120" t="str">
        <f ca="1">INDEX('NTS ONLY_set_year'!E:E,MATCH(TEXT($X41,"Ddd"),'NTS ONLY_set_year'!C:C,0))</f>
        <v>Dim</v>
      </c>
      <c r="U41" s="186" t="str">
        <f t="shared" ca="1" si="13"/>
        <v>juin</v>
      </c>
      <c r="X41" s="347">
        <f t="shared" ca="1" si="17"/>
        <v>46173</v>
      </c>
      <c r="Y41" s="452" t="str">
        <f t="shared" ca="1" si="14"/>
        <v>Dim. juin , 2026</v>
      </c>
      <c r="Z41" s="143">
        <f t="shared" ca="1" si="4"/>
        <v>30</v>
      </c>
      <c r="AA41" s="348">
        <f t="shared" ca="1" si="5"/>
        <v>6</v>
      </c>
      <c r="AB41" s="168">
        <f t="shared" ca="1" si="15"/>
        <v>0</v>
      </c>
      <c r="AF41" s="349">
        <f t="shared" ca="1" si="6"/>
        <v>99</v>
      </c>
      <c r="AG41" s="350">
        <f ca="1">MIN(AF41:AF$195)</f>
        <v>99</v>
      </c>
      <c r="AH41" s="121" t="b">
        <f t="shared" si="7"/>
        <v>0</v>
      </c>
      <c r="AJ41" s="191">
        <f t="shared" ca="1" si="8"/>
        <v>0</v>
      </c>
      <c r="AK41" s="168">
        <f>MAX(L$20:L40)</f>
        <v>0</v>
      </c>
      <c r="AL41" s="121" t="str">
        <f t="shared" si="18"/>
        <v>- -</v>
      </c>
      <c r="AM41" s="121">
        <f>MIN(K42:K$194)</f>
        <v>0</v>
      </c>
      <c r="AN41" s="352" t="str">
        <f t="shared" si="19"/>
        <v>- -</v>
      </c>
      <c r="AP41" s="352">
        <f t="shared" si="16"/>
        <v>999</v>
      </c>
      <c r="AQ41" s="143">
        <f t="shared" ca="1" si="9"/>
        <v>1</v>
      </c>
      <c r="AR41" s="143">
        <f t="shared" ca="1" si="10"/>
        <v>0</v>
      </c>
      <c r="AU41" s="281" t="str">
        <f>IF($C41=$AB$15,'NTS ONLY_set_year'!$E$143," ")&amp;$D41</f>
        <v xml:space="preserve"> </v>
      </c>
      <c r="AV41" s="121">
        <f t="shared" ca="1" si="21"/>
        <v>0</v>
      </c>
      <c r="AW41" s="198">
        <f t="shared" ca="1" si="22"/>
        <v>0</v>
      </c>
      <c r="BM41" s="352">
        <f t="shared" si="20"/>
        <v>1</v>
      </c>
      <c r="BN41" s="281">
        <f t="shared" si="20"/>
        <v>1</v>
      </c>
      <c r="BQ41" s="251"/>
      <c r="BR41" s="7"/>
      <c r="BS41" s="7"/>
      <c r="BT41" s="7"/>
      <c r="IU41" s="16"/>
    </row>
    <row r="42" spans="2:255" ht="13.2">
      <c r="B42" s="9">
        <v>23</v>
      </c>
      <c r="C42" s="17"/>
      <c r="D42" s="72"/>
      <c r="E42" s="76"/>
      <c r="F42" s="76"/>
      <c r="G42" s="76" t="str">
        <f ca="1">IF(ISBLANK(D42),IF(AND(ISNUMBER(D41),D41&lt;$AF$5),'NTS ONLY_set_year'!$E$62,"- -"),IF(D42&gt;$AF$5,$AG$5,IF(D42&gt;D41+1,$AG$6,IF(D42&lt;D41,$AG$7,Y42))))</f>
        <v>- -</v>
      </c>
      <c r="H42" s="532"/>
      <c r="I42" s="621"/>
      <c r="J42" s="534"/>
      <c r="K42" s="555"/>
      <c r="L42" s="556"/>
      <c r="M42" s="557" t="str">
        <f t="shared" si="3"/>
        <v/>
      </c>
      <c r="N42" s="558"/>
      <c r="O42" s="559"/>
      <c r="P42" s="560"/>
      <c r="Q42" s="559"/>
      <c r="R42" s="18" t="str">
        <f t="shared" si="12"/>
        <v/>
      </c>
      <c r="S42" s="36"/>
      <c r="T42" s="120" t="str">
        <f ca="1">INDEX('NTS ONLY_set_year'!E:E,MATCH(TEXT($X42,"Ddd"),'NTS ONLY_set_year'!C:C,0))</f>
        <v>Dim</v>
      </c>
      <c r="U42" s="186" t="str">
        <f t="shared" ca="1" si="13"/>
        <v>juin</v>
      </c>
      <c r="X42" s="347">
        <f t="shared" ca="1" si="17"/>
        <v>46173</v>
      </c>
      <c r="Y42" s="452" t="str">
        <f t="shared" ca="1" si="14"/>
        <v>Dim. juin , 2026</v>
      </c>
      <c r="Z42" s="143">
        <f t="shared" ca="1" si="4"/>
        <v>30</v>
      </c>
      <c r="AA42" s="348">
        <f t="shared" ca="1" si="5"/>
        <v>6</v>
      </c>
      <c r="AB42" s="168">
        <f t="shared" ca="1" si="15"/>
        <v>0</v>
      </c>
      <c r="AF42" s="349">
        <f t="shared" ca="1" si="6"/>
        <v>99</v>
      </c>
      <c r="AG42" s="350">
        <f ca="1">MIN(AF42:AF$195)</f>
        <v>99</v>
      </c>
      <c r="AH42" s="121" t="b">
        <f t="shared" si="7"/>
        <v>0</v>
      </c>
      <c r="AJ42" s="191">
        <f t="shared" ca="1" si="8"/>
        <v>0</v>
      </c>
      <c r="AK42" s="168">
        <f>MAX(L$20:L41)</f>
        <v>0</v>
      </c>
      <c r="AL42" s="121" t="str">
        <f t="shared" si="18"/>
        <v>- -</v>
      </c>
      <c r="AM42" s="121">
        <f>MIN(K43:K$194)</f>
        <v>0</v>
      </c>
      <c r="AN42" s="352" t="str">
        <f t="shared" si="19"/>
        <v>- -</v>
      </c>
      <c r="AP42" s="352">
        <f t="shared" si="16"/>
        <v>999</v>
      </c>
      <c r="AQ42" s="143">
        <f t="shared" ca="1" si="9"/>
        <v>1</v>
      </c>
      <c r="AR42" s="143">
        <f t="shared" ca="1" si="10"/>
        <v>0</v>
      </c>
      <c r="AU42" s="281" t="str">
        <f>IF($C42=$AB$15,'NTS ONLY_set_year'!$E$143," ")&amp;$D42</f>
        <v xml:space="preserve"> </v>
      </c>
      <c r="AV42" s="121">
        <f t="shared" ca="1" si="21"/>
        <v>0</v>
      </c>
      <c r="AW42" s="198">
        <f t="shared" ca="1" si="22"/>
        <v>0</v>
      </c>
      <c r="BM42" s="352">
        <f t="shared" si="20"/>
        <v>1</v>
      </c>
      <c r="BN42" s="281">
        <f t="shared" si="20"/>
        <v>1</v>
      </c>
      <c r="BQ42" s="251"/>
      <c r="BR42" s="7"/>
      <c r="BS42" s="7"/>
      <c r="BT42" s="7"/>
      <c r="IU42" s="16"/>
    </row>
    <row r="43" spans="2:255" ht="13.2">
      <c r="B43" s="9">
        <v>24</v>
      </c>
      <c r="C43" s="17"/>
      <c r="D43" s="72"/>
      <c r="E43" s="76"/>
      <c r="F43" s="76"/>
      <c r="G43" s="76" t="str">
        <f ca="1">IF(ISBLANK(D43),IF(AND(ISNUMBER(D42),D42&lt;$AF$5),'NTS ONLY_set_year'!$E$62,"- -"),IF(D43&gt;$AF$5,$AG$5,IF(D43&gt;D42+1,$AG$6,IF(D43&lt;D42,$AG$7,Y43))))</f>
        <v>- -</v>
      </c>
      <c r="H43" s="532"/>
      <c r="I43" s="621"/>
      <c r="J43" s="534"/>
      <c r="K43" s="555"/>
      <c r="L43" s="556"/>
      <c r="M43" s="557" t="str">
        <f t="shared" si="3"/>
        <v/>
      </c>
      <c r="N43" s="558"/>
      <c r="O43" s="559"/>
      <c r="P43" s="560"/>
      <c r="Q43" s="559"/>
      <c r="R43" s="18" t="str">
        <f t="shared" si="12"/>
        <v/>
      </c>
      <c r="S43" s="36"/>
      <c r="T43" s="120" t="str">
        <f ca="1">INDEX('NTS ONLY_set_year'!E:E,MATCH(TEXT($X43,"Ddd"),'NTS ONLY_set_year'!C:C,0))</f>
        <v>Dim</v>
      </c>
      <c r="U43" s="186" t="str">
        <f t="shared" ca="1" si="13"/>
        <v>juin</v>
      </c>
      <c r="X43" s="347">
        <f t="shared" ca="1" si="17"/>
        <v>46173</v>
      </c>
      <c r="Y43" s="452" t="str">
        <f t="shared" ca="1" si="14"/>
        <v>Dim. juin , 2026</v>
      </c>
      <c r="Z43" s="143">
        <f t="shared" ca="1" si="4"/>
        <v>30</v>
      </c>
      <c r="AA43" s="348">
        <f t="shared" ca="1" si="5"/>
        <v>6</v>
      </c>
      <c r="AB43" s="168">
        <f t="shared" ca="1" si="15"/>
        <v>0</v>
      </c>
      <c r="AF43" s="349">
        <f t="shared" ca="1" si="6"/>
        <v>99</v>
      </c>
      <c r="AG43" s="350">
        <f ca="1">MIN(AF43:AF$195)</f>
        <v>99</v>
      </c>
      <c r="AH43" s="121" t="b">
        <f t="shared" si="7"/>
        <v>0</v>
      </c>
      <c r="AJ43" s="191">
        <f t="shared" ca="1" si="8"/>
        <v>0</v>
      </c>
      <c r="AK43" s="168">
        <f>MAX(L$20:L42)</f>
        <v>0</v>
      </c>
      <c r="AL43" s="121" t="str">
        <f t="shared" si="18"/>
        <v>- -</v>
      </c>
      <c r="AM43" s="121">
        <f>MIN(K44:K$194)</f>
        <v>0</v>
      </c>
      <c r="AN43" s="352" t="str">
        <f t="shared" si="19"/>
        <v>- -</v>
      </c>
      <c r="AP43" s="352">
        <f t="shared" si="16"/>
        <v>999</v>
      </c>
      <c r="AQ43" s="143">
        <f t="shared" ca="1" si="9"/>
        <v>1</v>
      </c>
      <c r="AR43" s="143">
        <f t="shared" ca="1" si="10"/>
        <v>0</v>
      </c>
      <c r="AU43" s="281" t="str">
        <f>IF($C43=$AB$15,'NTS ONLY_set_year'!$E$143," ")&amp;$D43</f>
        <v xml:space="preserve"> </v>
      </c>
      <c r="AV43" s="121">
        <f t="shared" ca="1" si="21"/>
        <v>0</v>
      </c>
      <c r="AW43" s="198">
        <f t="shared" ca="1" si="22"/>
        <v>0</v>
      </c>
      <c r="BM43" s="352">
        <f t="shared" si="20"/>
        <v>1</v>
      </c>
      <c r="BN43" s="281">
        <f t="shared" si="20"/>
        <v>1</v>
      </c>
      <c r="BQ43" s="251"/>
      <c r="BR43" s="7"/>
      <c r="BS43" s="7"/>
      <c r="BT43" s="7"/>
      <c r="IU43" s="16"/>
    </row>
    <row r="44" spans="2:255" ht="13.2">
      <c r="B44" s="9">
        <v>25</v>
      </c>
      <c r="C44" s="17"/>
      <c r="D44" s="72"/>
      <c r="E44" s="76"/>
      <c r="F44" s="76"/>
      <c r="G44" s="76" t="str">
        <f ca="1">IF(ISBLANK(D44),IF(AND(ISNUMBER(D43),D43&lt;$AF$5),'NTS ONLY_set_year'!$E$62,"- -"),IF(D44&gt;$AF$5,$AG$5,IF(D44&gt;D43+1,$AG$6,IF(D44&lt;D43,$AG$7,Y44))))</f>
        <v>- -</v>
      </c>
      <c r="H44" s="532"/>
      <c r="I44" s="621"/>
      <c r="J44" s="534"/>
      <c r="K44" s="555"/>
      <c r="L44" s="556"/>
      <c r="M44" s="557" t="str">
        <f t="shared" si="3"/>
        <v/>
      </c>
      <c r="N44" s="558"/>
      <c r="O44" s="559"/>
      <c r="P44" s="560"/>
      <c r="Q44" s="559"/>
      <c r="R44" s="18" t="str">
        <f t="shared" si="12"/>
        <v/>
      </c>
      <c r="S44" s="36"/>
      <c r="T44" s="120" t="str">
        <f ca="1">INDEX('NTS ONLY_set_year'!E:E,MATCH(TEXT($X44,"Ddd"),'NTS ONLY_set_year'!C:C,0))</f>
        <v>Dim</v>
      </c>
      <c r="U44" s="186" t="str">
        <f t="shared" ca="1" si="13"/>
        <v>juin</v>
      </c>
      <c r="X44" s="347">
        <f t="shared" ca="1" si="17"/>
        <v>46173</v>
      </c>
      <c r="Y44" s="452" t="str">
        <f t="shared" ca="1" si="14"/>
        <v>Dim. juin , 2026</v>
      </c>
      <c r="Z44" s="143">
        <f t="shared" ca="1" si="4"/>
        <v>30</v>
      </c>
      <c r="AA44" s="348">
        <f t="shared" ca="1" si="5"/>
        <v>6</v>
      </c>
      <c r="AB44" s="168">
        <f t="shared" ca="1" si="15"/>
        <v>0</v>
      </c>
      <c r="AF44" s="349">
        <f t="shared" ca="1" si="6"/>
        <v>99</v>
      </c>
      <c r="AG44" s="350">
        <f ca="1">MIN(AF44:AF$195)</f>
        <v>99</v>
      </c>
      <c r="AH44" s="121" t="b">
        <f t="shared" si="7"/>
        <v>0</v>
      </c>
      <c r="AJ44" s="191">
        <f t="shared" ca="1" si="8"/>
        <v>0</v>
      </c>
      <c r="AK44" s="168">
        <f>MAX(L$20:L43)</f>
        <v>0</v>
      </c>
      <c r="AL44" s="121" t="str">
        <f t="shared" si="18"/>
        <v>- -</v>
      </c>
      <c r="AM44" s="121">
        <f>MIN(K45:K$194)</f>
        <v>0</v>
      </c>
      <c r="AN44" s="352" t="str">
        <f t="shared" si="19"/>
        <v>- -</v>
      </c>
      <c r="AP44" s="352">
        <f t="shared" si="16"/>
        <v>999</v>
      </c>
      <c r="AQ44" s="143">
        <f t="shared" ca="1" si="9"/>
        <v>1</v>
      </c>
      <c r="AR44" s="143">
        <f t="shared" ca="1" si="10"/>
        <v>0</v>
      </c>
      <c r="AU44" s="281" t="str">
        <f>IF($C44=$AB$15,'NTS ONLY_set_year'!$E$143," ")&amp;$D44</f>
        <v xml:space="preserve"> </v>
      </c>
      <c r="AV44" s="121">
        <f t="shared" ca="1" si="21"/>
        <v>0</v>
      </c>
      <c r="AW44" s="198">
        <f t="shared" ca="1" si="22"/>
        <v>0</v>
      </c>
      <c r="BM44" s="352">
        <f t="shared" si="20"/>
        <v>1</v>
      </c>
      <c r="BN44" s="281">
        <f t="shared" si="20"/>
        <v>1</v>
      </c>
      <c r="BQ44" s="251"/>
      <c r="BR44" s="7"/>
      <c r="BS44" s="7"/>
      <c r="BT44" s="7"/>
      <c r="IU44" s="16"/>
    </row>
    <row r="45" spans="2:255" ht="13.2">
      <c r="B45" s="9">
        <v>26</v>
      </c>
      <c r="C45" s="17"/>
      <c r="D45" s="72"/>
      <c r="E45" s="76"/>
      <c r="F45" s="76"/>
      <c r="G45" s="76" t="str">
        <f ca="1">IF(ISBLANK(D45),IF(AND(ISNUMBER(D44),D44&lt;$AF$5),'NTS ONLY_set_year'!$E$62,"- -"),IF(D45&gt;$AF$5,$AG$5,IF(D45&gt;D44+1,$AG$6,IF(D45&lt;D44,$AG$7,Y45))))</f>
        <v>- -</v>
      </c>
      <c r="H45" s="532"/>
      <c r="I45" s="621"/>
      <c r="J45" s="534"/>
      <c r="K45" s="555"/>
      <c r="L45" s="556"/>
      <c r="M45" s="557" t="str">
        <f t="shared" si="3"/>
        <v/>
      </c>
      <c r="N45" s="558"/>
      <c r="O45" s="559"/>
      <c r="P45" s="560"/>
      <c r="Q45" s="559"/>
      <c r="R45" s="18" t="str">
        <f t="shared" si="12"/>
        <v/>
      </c>
      <c r="S45" s="36"/>
      <c r="T45" s="120" t="str">
        <f ca="1">INDEX('NTS ONLY_set_year'!E:E,MATCH(TEXT($X45,"Ddd"),'NTS ONLY_set_year'!C:C,0))</f>
        <v>Dim</v>
      </c>
      <c r="U45" s="186" t="str">
        <f t="shared" ca="1" si="13"/>
        <v>juin</v>
      </c>
      <c r="X45" s="347">
        <f t="shared" ca="1" si="17"/>
        <v>46173</v>
      </c>
      <c r="Y45" s="452" t="str">
        <f t="shared" ca="1" si="14"/>
        <v>Dim. juin , 2026</v>
      </c>
      <c r="Z45" s="143">
        <f t="shared" ca="1" si="4"/>
        <v>30</v>
      </c>
      <c r="AA45" s="348">
        <f t="shared" ca="1" si="5"/>
        <v>6</v>
      </c>
      <c r="AB45" s="168">
        <f t="shared" ca="1" si="15"/>
        <v>0</v>
      </c>
      <c r="AF45" s="349">
        <f t="shared" ca="1" si="6"/>
        <v>99</v>
      </c>
      <c r="AG45" s="350">
        <f ca="1">MIN(AF45:AF$195)</f>
        <v>99</v>
      </c>
      <c r="AH45" s="121" t="b">
        <f t="shared" si="7"/>
        <v>0</v>
      </c>
      <c r="AJ45" s="191">
        <f t="shared" ca="1" si="8"/>
        <v>0</v>
      </c>
      <c r="AK45" s="168">
        <f>MAX(L$20:L44)</f>
        <v>0</v>
      </c>
      <c r="AL45" s="121" t="str">
        <f t="shared" si="18"/>
        <v>- -</v>
      </c>
      <c r="AM45" s="121">
        <f>MIN(K46:K$194)</f>
        <v>0</v>
      </c>
      <c r="AN45" s="352" t="str">
        <f t="shared" si="19"/>
        <v>- -</v>
      </c>
      <c r="AP45" s="352">
        <f t="shared" si="16"/>
        <v>999</v>
      </c>
      <c r="AQ45" s="143">
        <f t="shared" ca="1" si="9"/>
        <v>1</v>
      </c>
      <c r="AR45" s="143">
        <f t="shared" ca="1" si="10"/>
        <v>0</v>
      </c>
      <c r="AU45" s="281" t="str">
        <f>IF($C45=$AB$15,'NTS ONLY_set_year'!$E$143," ")&amp;$D45</f>
        <v xml:space="preserve"> </v>
      </c>
      <c r="AV45" s="121">
        <f t="shared" ca="1" si="21"/>
        <v>0</v>
      </c>
      <c r="AW45" s="198">
        <f t="shared" ca="1" si="22"/>
        <v>0</v>
      </c>
      <c r="BM45" s="352">
        <f t="shared" si="20"/>
        <v>1</v>
      </c>
      <c r="BN45" s="281">
        <f t="shared" si="20"/>
        <v>1</v>
      </c>
      <c r="BQ45" s="251"/>
      <c r="BR45" s="7"/>
      <c r="BS45" s="7"/>
      <c r="BT45" s="7"/>
      <c r="IU45" s="16"/>
    </row>
    <row r="46" spans="2:255" ht="13.2">
      <c r="B46" s="9">
        <v>27</v>
      </c>
      <c r="C46" s="17"/>
      <c r="D46" s="72"/>
      <c r="E46" s="76"/>
      <c r="F46" s="76"/>
      <c r="G46" s="76" t="str">
        <f ca="1">IF(ISBLANK(D46),IF(AND(ISNUMBER(D45),D45&lt;$AF$5),'NTS ONLY_set_year'!$E$62,"- -"),IF(D46&gt;$AF$5,$AG$5,IF(D46&gt;D45+1,$AG$6,IF(D46&lt;D45,$AG$7,Y46))))</f>
        <v>- -</v>
      </c>
      <c r="H46" s="532"/>
      <c r="I46" s="621"/>
      <c r="J46" s="534"/>
      <c r="K46" s="555"/>
      <c r="L46" s="556"/>
      <c r="M46" s="557" t="str">
        <f t="shared" si="3"/>
        <v/>
      </c>
      <c r="N46" s="558"/>
      <c r="O46" s="559"/>
      <c r="P46" s="560"/>
      <c r="Q46" s="559"/>
      <c r="R46" s="18" t="str">
        <f t="shared" si="12"/>
        <v/>
      </c>
      <c r="S46" s="36"/>
      <c r="T46" s="120" t="str">
        <f ca="1">INDEX('NTS ONLY_set_year'!E:E,MATCH(TEXT($X46,"Ddd"),'NTS ONLY_set_year'!C:C,0))</f>
        <v>Dim</v>
      </c>
      <c r="U46" s="186" t="str">
        <f t="shared" ca="1" si="13"/>
        <v>juin</v>
      </c>
      <c r="X46" s="347">
        <f t="shared" ca="1" si="17"/>
        <v>46173</v>
      </c>
      <c r="Y46" s="452" t="str">
        <f t="shared" ca="1" si="14"/>
        <v>Dim. juin , 2026</v>
      </c>
      <c r="Z46" s="143">
        <f t="shared" ca="1" si="4"/>
        <v>30</v>
      </c>
      <c r="AA46" s="348">
        <f t="shared" ca="1" si="5"/>
        <v>6</v>
      </c>
      <c r="AB46" s="168">
        <f t="shared" ca="1" si="15"/>
        <v>0</v>
      </c>
      <c r="AF46" s="349">
        <f t="shared" ca="1" si="6"/>
        <v>99</v>
      </c>
      <c r="AG46" s="350">
        <f ca="1">MIN(AF46:AF$195)</f>
        <v>99</v>
      </c>
      <c r="AH46" s="121" t="b">
        <f t="shared" si="7"/>
        <v>0</v>
      </c>
      <c r="AJ46" s="191">
        <f t="shared" ca="1" si="8"/>
        <v>0</v>
      </c>
      <c r="AK46" s="168">
        <f>IF(D46&lt;&gt;D45,MAX(L$20:L45),AK45)</f>
        <v>0</v>
      </c>
      <c r="AL46" s="121" t="str">
        <f t="shared" si="18"/>
        <v>- -</v>
      </c>
      <c r="AM46" s="121">
        <f>MIN(K47:K$194)</f>
        <v>0</v>
      </c>
      <c r="AN46" s="352" t="str">
        <f t="shared" si="19"/>
        <v>- -</v>
      </c>
      <c r="AP46" s="352">
        <f t="shared" si="16"/>
        <v>999</v>
      </c>
      <c r="AQ46" s="143">
        <f t="shared" ca="1" si="9"/>
        <v>1</v>
      </c>
      <c r="AR46" s="143">
        <f t="shared" ca="1" si="10"/>
        <v>0</v>
      </c>
      <c r="AU46" s="281" t="str">
        <f>IF($C46=$AB$15,'NTS ONLY_set_year'!$E$143," ")&amp;$D46</f>
        <v xml:space="preserve"> </v>
      </c>
      <c r="AV46" s="121">
        <f t="shared" ca="1" si="21"/>
        <v>0</v>
      </c>
      <c r="AW46" s="198">
        <f t="shared" ca="1" si="22"/>
        <v>0</v>
      </c>
      <c r="BM46" s="352">
        <f t="shared" si="20"/>
        <v>1</v>
      </c>
      <c r="BN46" s="281">
        <f t="shared" si="20"/>
        <v>1</v>
      </c>
      <c r="BQ46" s="251"/>
      <c r="BR46" s="7"/>
      <c r="BS46" s="7"/>
      <c r="BT46" s="7"/>
      <c r="IU46" s="16"/>
    </row>
    <row r="47" spans="2:255" ht="13.2">
      <c r="B47" s="9">
        <v>28</v>
      </c>
      <c r="C47" s="17"/>
      <c r="D47" s="72"/>
      <c r="E47" s="76"/>
      <c r="F47" s="76"/>
      <c r="G47" s="76" t="str">
        <f ca="1">IF(ISBLANK(D47),IF(AND(ISNUMBER(D46),D46&lt;$AF$5),'NTS ONLY_set_year'!$E$62,"- -"),IF(D47&gt;$AF$5,$AG$5,IF(D47&gt;D46+1,$AG$6,IF(D47&lt;D46,$AG$7,Y47))))</f>
        <v>- -</v>
      </c>
      <c r="H47" s="532"/>
      <c r="I47" s="621"/>
      <c r="J47" s="534"/>
      <c r="K47" s="555"/>
      <c r="L47" s="556"/>
      <c r="M47" s="557" t="str">
        <f t="shared" si="3"/>
        <v/>
      </c>
      <c r="N47" s="558"/>
      <c r="O47" s="559"/>
      <c r="P47" s="560"/>
      <c r="Q47" s="559"/>
      <c r="R47" s="18" t="str">
        <f t="shared" si="12"/>
        <v/>
      </c>
      <c r="S47" s="36"/>
      <c r="T47" s="120" t="str">
        <f ca="1">INDEX('NTS ONLY_set_year'!E:E,MATCH(TEXT($X47,"Ddd"),'NTS ONLY_set_year'!C:C,0))</f>
        <v>Dim</v>
      </c>
      <c r="U47" s="186" t="str">
        <f t="shared" ca="1" si="13"/>
        <v>juin</v>
      </c>
      <c r="X47" s="347">
        <f t="shared" ca="1" si="17"/>
        <v>46173</v>
      </c>
      <c r="Y47" s="452" t="str">
        <f t="shared" ca="1" si="14"/>
        <v>Dim. juin , 2026</v>
      </c>
      <c r="Z47" s="143">
        <f t="shared" ca="1" si="4"/>
        <v>30</v>
      </c>
      <c r="AA47" s="348">
        <f t="shared" ca="1" si="5"/>
        <v>6</v>
      </c>
      <c r="AB47" s="168">
        <f t="shared" ca="1" si="15"/>
        <v>0</v>
      </c>
      <c r="AF47" s="349">
        <f t="shared" ca="1" si="6"/>
        <v>99</v>
      </c>
      <c r="AG47" s="350">
        <f ca="1">MIN(AF47:AF$195)</f>
        <v>99</v>
      </c>
      <c r="AH47" s="121" t="b">
        <f t="shared" si="7"/>
        <v>0</v>
      </c>
      <c r="AJ47" s="191">
        <f t="shared" ca="1" si="8"/>
        <v>0</v>
      </c>
      <c r="AK47" s="168">
        <f>IF(D47&lt;&gt;D46,MAX(L$20:L46),AK46)</f>
        <v>0</v>
      </c>
      <c r="AL47" s="121" t="str">
        <f t="shared" si="18"/>
        <v>- -</v>
      </c>
      <c r="AM47" s="121">
        <f>MIN(K48:K$194)</f>
        <v>0</v>
      </c>
      <c r="AN47" s="352" t="str">
        <f t="shared" si="19"/>
        <v>- -</v>
      </c>
      <c r="AP47" s="352">
        <f t="shared" si="16"/>
        <v>999</v>
      </c>
      <c r="AQ47" s="143">
        <f t="shared" ca="1" si="9"/>
        <v>1</v>
      </c>
      <c r="AR47" s="143">
        <f t="shared" ca="1" si="10"/>
        <v>0</v>
      </c>
      <c r="AU47" s="281" t="str">
        <f>IF($C47=$AB$15,'NTS ONLY_set_year'!$E$143," ")&amp;$D47</f>
        <v xml:space="preserve"> </v>
      </c>
      <c r="AV47" s="121">
        <f t="shared" ca="1" si="21"/>
        <v>0</v>
      </c>
      <c r="AW47" s="198">
        <f t="shared" ca="1" si="22"/>
        <v>0</v>
      </c>
      <c r="BM47" s="352">
        <f t="shared" si="20"/>
        <v>1</v>
      </c>
      <c r="BN47" s="281">
        <f t="shared" si="20"/>
        <v>1</v>
      </c>
      <c r="BQ47" s="251"/>
      <c r="BR47" s="7"/>
      <c r="BS47" s="7"/>
      <c r="BT47" s="7"/>
      <c r="IU47" s="16"/>
    </row>
    <row r="48" spans="2:255" ht="13.2">
      <c r="B48" s="9">
        <v>29</v>
      </c>
      <c r="C48" s="17"/>
      <c r="D48" s="72"/>
      <c r="E48" s="76"/>
      <c r="F48" s="76"/>
      <c r="G48" s="76" t="str">
        <f ca="1">IF(ISBLANK(D48),IF(AND(ISNUMBER(D47),D47&lt;$AF$5),'NTS ONLY_set_year'!$E$62,"- -"),IF(D48&gt;$AF$5,$AG$5,IF(D48&gt;D47+1,$AG$6,IF(D48&lt;D47,$AG$7,Y48))))</f>
        <v>- -</v>
      </c>
      <c r="H48" s="532"/>
      <c r="I48" s="621"/>
      <c r="J48" s="534"/>
      <c r="K48" s="555"/>
      <c r="L48" s="556"/>
      <c r="M48" s="557" t="str">
        <f t="shared" si="3"/>
        <v/>
      </c>
      <c r="N48" s="558"/>
      <c r="O48" s="559"/>
      <c r="P48" s="560"/>
      <c r="Q48" s="559"/>
      <c r="R48" s="18" t="str">
        <f t="shared" si="12"/>
        <v/>
      </c>
      <c r="S48" s="36"/>
      <c r="T48" s="120" t="str">
        <f ca="1">INDEX('NTS ONLY_set_year'!E:E,MATCH(TEXT($X48,"Ddd"),'NTS ONLY_set_year'!C:C,0))</f>
        <v>Dim</v>
      </c>
      <c r="U48" s="186" t="str">
        <f t="shared" ca="1" si="13"/>
        <v>juin</v>
      </c>
      <c r="X48" s="347">
        <f t="shared" ca="1" si="17"/>
        <v>46173</v>
      </c>
      <c r="Y48" s="452" t="str">
        <f t="shared" ca="1" si="14"/>
        <v>Dim. juin , 2026</v>
      </c>
      <c r="Z48" s="143">
        <f t="shared" ca="1" si="4"/>
        <v>30</v>
      </c>
      <c r="AA48" s="348">
        <f t="shared" ca="1" si="5"/>
        <v>6</v>
      </c>
      <c r="AB48" s="168">
        <f t="shared" ca="1" si="15"/>
        <v>0</v>
      </c>
      <c r="AF48" s="349">
        <f t="shared" ca="1" si="6"/>
        <v>99</v>
      </c>
      <c r="AG48" s="350">
        <f ca="1">MIN(AF48:AF$195)</f>
        <v>99</v>
      </c>
      <c r="AH48" s="121" t="b">
        <f t="shared" si="7"/>
        <v>0</v>
      </c>
      <c r="AJ48" s="191">
        <f t="shared" ca="1" si="8"/>
        <v>0</v>
      </c>
      <c r="AK48" s="168">
        <f>IF(D48&lt;&gt;D47,MAX(L$20:L47),AK47)</f>
        <v>0</v>
      </c>
      <c r="AL48" s="121" t="str">
        <f t="shared" si="18"/>
        <v>- -</v>
      </c>
      <c r="AM48" s="121">
        <f>MIN(K49:K$194)</f>
        <v>0</v>
      </c>
      <c r="AN48" s="352" t="str">
        <f t="shared" si="19"/>
        <v>- -</v>
      </c>
      <c r="AP48" s="352">
        <f t="shared" si="16"/>
        <v>999</v>
      </c>
      <c r="AQ48" s="143">
        <f t="shared" ca="1" si="9"/>
        <v>1</v>
      </c>
      <c r="AR48" s="143">
        <f t="shared" ca="1" si="10"/>
        <v>0</v>
      </c>
      <c r="AU48" s="281" t="str">
        <f>IF($C48=$AB$15,'NTS ONLY_set_year'!$E$143," ")&amp;$D48</f>
        <v xml:space="preserve"> </v>
      </c>
      <c r="AV48" s="121">
        <f t="shared" ca="1" si="21"/>
        <v>0</v>
      </c>
      <c r="AW48" s="198">
        <f t="shared" ca="1" si="22"/>
        <v>0</v>
      </c>
      <c r="BM48" s="352">
        <f t="shared" si="20"/>
        <v>1</v>
      </c>
      <c r="BN48" s="281">
        <f t="shared" si="20"/>
        <v>1</v>
      </c>
      <c r="BQ48" s="251"/>
      <c r="BR48" s="7"/>
      <c r="BS48" s="7"/>
      <c r="BT48" s="7"/>
      <c r="IU48" s="16"/>
    </row>
    <row r="49" spans="2:255" ht="13.2">
      <c r="B49" s="9">
        <v>30</v>
      </c>
      <c r="C49" s="17"/>
      <c r="D49" s="72"/>
      <c r="E49" s="76"/>
      <c r="F49" s="76"/>
      <c r="G49" s="76" t="str">
        <f ca="1">IF(ISBLANK(D49),IF(AND(ISNUMBER(D48),D48&lt;$AF$5),'NTS ONLY_set_year'!$E$62,"- -"),IF(D49&gt;$AF$5,$AG$5,IF(D49&gt;D48+1,$AG$6,IF(D49&lt;D48,$AG$7,Y49))))</f>
        <v>- -</v>
      </c>
      <c r="H49" s="532"/>
      <c r="I49" s="621"/>
      <c r="J49" s="534"/>
      <c r="K49" s="555"/>
      <c r="L49" s="556"/>
      <c r="M49" s="557" t="str">
        <f t="shared" si="3"/>
        <v/>
      </c>
      <c r="N49" s="558"/>
      <c r="O49" s="559"/>
      <c r="P49" s="560"/>
      <c r="Q49" s="559"/>
      <c r="R49" s="18" t="str">
        <f t="shared" si="12"/>
        <v/>
      </c>
      <c r="S49" s="36"/>
      <c r="T49" s="120" t="str">
        <f ca="1">INDEX('NTS ONLY_set_year'!E:E,MATCH(TEXT($X49,"Ddd"),'NTS ONLY_set_year'!C:C,0))</f>
        <v>Dim</v>
      </c>
      <c r="U49" s="186" t="str">
        <f t="shared" ca="1" si="13"/>
        <v>juin</v>
      </c>
      <c r="X49" s="347">
        <f t="shared" ca="1" si="17"/>
        <v>46173</v>
      </c>
      <c r="Y49" s="452" t="str">
        <f t="shared" ca="1" si="14"/>
        <v>Dim. juin , 2026</v>
      </c>
      <c r="Z49" s="143">
        <f t="shared" ca="1" si="4"/>
        <v>30</v>
      </c>
      <c r="AA49" s="348">
        <f t="shared" ca="1" si="5"/>
        <v>6</v>
      </c>
      <c r="AB49" s="168">
        <f t="shared" ca="1" si="15"/>
        <v>0</v>
      </c>
      <c r="AF49" s="349">
        <f t="shared" ca="1" si="6"/>
        <v>99</v>
      </c>
      <c r="AG49" s="350">
        <f ca="1">MIN(AF49:AF$195)</f>
        <v>99</v>
      </c>
      <c r="AH49" s="121" t="b">
        <f t="shared" si="7"/>
        <v>0</v>
      </c>
      <c r="AJ49" s="191">
        <f t="shared" ca="1" si="8"/>
        <v>0</v>
      </c>
      <c r="AK49" s="168">
        <f>IF(D49&lt;&gt;D48,MAX(L$20:L48),AK48)</f>
        <v>0</v>
      </c>
      <c r="AL49" s="121" t="str">
        <f t="shared" si="18"/>
        <v>- -</v>
      </c>
      <c r="AM49" s="121">
        <f>MIN(K50:K$194)</f>
        <v>0</v>
      </c>
      <c r="AN49" s="352" t="str">
        <f t="shared" si="19"/>
        <v>- -</v>
      </c>
      <c r="AP49" s="352">
        <f t="shared" si="16"/>
        <v>999</v>
      </c>
      <c r="AQ49" s="143">
        <f t="shared" ca="1" si="9"/>
        <v>1</v>
      </c>
      <c r="AR49" s="143">
        <f t="shared" ca="1" si="10"/>
        <v>0</v>
      </c>
      <c r="AU49" s="281" t="str">
        <f>IF($C49=$AB$15,'NTS ONLY_set_year'!$E$143," ")&amp;$D49</f>
        <v xml:space="preserve"> </v>
      </c>
      <c r="AV49" s="121">
        <f t="shared" ca="1" si="21"/>
        <v>0</v>
      </c>
      <c r="AW49" s="198">
        <f t="shared" ca="1" si="22"/>
        <v>0</v>
      </c>
      <c r="BM49" s="352">
        <f t="shared" si="20"/>
        <v>1</v>
      </c>
      <c r="BN49" s="281">
        <f t="shared" si="20"/>
        <v>1</v>
      </c>
      <c r="BQ49" s="251"/>
      <c r="BR49" s="7"/>
      <c r="BS49" s="7"/>
      <c r="BT49" s="7"/>
      <c r="IU49" s="16"/>
    </row>
    <row r="50" spans="2:255" ht="13.2">
      <c r="B50" s="9">
        <v>31</v>
      </c>
      <c r="C50" s="17"/>
      <c r="D50" s="72"/>
      <c r="E50" s="76"/>
      <c r="F50" s="76"/>
      <c r="G50" s="76" t="str">
        <f ca="1">IF(ISBLANK(D50),IF(AND(ISNUMBER(D49),D49&lt;$AF$5),'NTS ONLY_set_year'!$E$62,"- -"),IF(D50&gt;$AF$5,$AG$5,IF(D50&gt;D49+1,$AG$6,IF(D50&lt;D49,$AG$7,Y50))))</f>
        <v>- -</v>
      </c>
      <c r="H50" s="532"/>
      <c r="I50" s="621"/>
      <c r="J50" s="534"/>
      <c r="K50" s="555"/>
      <c r="L50" s="556"/>
      <c r="M50" s="557" t="str">
        <f t="shared" si="3"/>
        <v/>
      </c>
      <c r="N50" s="558"/>
      <c r="O50" s="559"/>
      <c r="P50" s="560"/>
      <c r="Q50" s="559"/>
      <c r="R50" s="18" t="str">
        <f t="shared" si="12"/>
        <v/>
      </c>
      <c r="S50" s="36"/>
      <c r="T50" s="120" t="str">
        <f ca="1">INDEX('NTS ONLY_set_year'!E:E,MATCH(TEXT($X50,"Ddd"),'NTS ONLY_set_year'!C:C,0))</f>
        <v>Dim</v>
      </c>
      <c r="U50" s="186" t="str">
        <f t="shared" ca="1" si="13"/>
        <v>juin</v>
      </c>
      <c r="X50" s="347">
        <f t="shared" ca="1" si="17"/>
        <v>46173</v>
      </c>
      <c r="Y50" s="452" t="str">
        <f t="shared" ca="1" si="14"/>
        <v>Dim. juin , 2026</v>
      </c>
      <c r="Z50" s="143">
        <f t="shared" ca="1" si="4"/>
        <v>30</v>
      </c>
      <c r="AA50" s="348">
        <f t="shared" ca="1" si="5"/>
        <v>6</v>
      </c>
      <c r="AB50" s="168">
        <f t="shared" ca="1" si="15"/>
        <v>0</v>
      </c>
      <c r="AF50" s="349">
        <f t="shared" ca="1" si="6"/>
        <v>99</v>
      </c>
      <c r="AG50" s="350">
        <f ca="1">MIN(AF50:AF$195)</f>
        <v>99</v>
      </c>
      <c r="AH50" s="121" t="b">
        <f t="shared" si="7"/>
        <v>0</v>
      </c>
      <c r="AJ50" s="191">
        <f t="shared" ca="1" si="8"/>
        <v>0</v>
      </c>
      <c r="AK50" s="168">
        <f>IF(D50&lt;&gt;D49,MAX(L$20:L49),AK49)</f>
        <v>0</v>
      </c>
      <c r="AL50" s="121" t="str">
        <f t="shared" si="18"/>
        <v>- -</v>
      </c>
      <c r="AM50" s="121">
        <f>MIN(K51:K$194)</f>
        <v>0</v>
      </c>
      <c r="AN50" s="352" t="str">
        <f t="shared" si="19"/>
        <v>- -</v>
      </c>
      <c r="AP50" s="352">
        <f t="shared" si="16"/>
        <v>999</v>
      </c>
      <c r="AQ50" s="143">
        <f t="shared" ca="1" si="9"/>
        <v>1</v>
      </c>
      <c r="AR50" s="143">
        <f t="shared" ca="1" si="10"/>
        <v>0</v>
      </c>
      <c r="AU50" s="281" t="str">
        <f>IF($C50=$AB$15,'NTS ONLY_set_year'!$E$143," ")&amp;$D50</f>
        <v xml:space="preserve"> </v>
      </c>
      <c r="AV50" s="121">
        <f t="shared" ca="1" si="21"/>
        <v>0</v>
      </c>
      <c r="AW50" s="198">
        <f t="shared" ca="1" si="22"/>
        <v>0</v>
      </c>
      <c r="BM50" s="352">
        <f t="shared" si="20"/>
        <v>1</v>
      </c>
      <c r="BN50" s="281">
        <f t="shared" si="20"/>
        <v>1</v>
      </c>
      <c r="BQ50" s="251"/>
      <c r="BR50" s="7"/>
      <c r="BS50" s="7"/>
      <c r="BT50" s="7"/>
      <c r="IU50" s="16"/>
    </row>
    <row r="51" spans="2:255" ht="13.2">
      <c r="B51" s="9">
        <v>32</v>
      </c>
      <c r="C51" s="17"/>
      <c r="D51" s="72"/>
      <c r="E51" s="76"/>
      <c r="F51" s="76"/>
      <c r="G51" s="76" t="str">
        <f ca="1">IF(ISBLANK(D51),IF(AND(ISNUMBER(D50),D50&lt;$AF$5),'NTS ONLY_set_year'!$E$62,"- -"),IF(D51&gt;$AF$5,$AG$5,IF(D51&gt;D50+1,$AG$6,IF(D51&lt;D50,$AG$7,Y51))))</f>
        <v>- -</v>
      </c>
      <c r="H51" s="532"/>
      <c r="I51" s="621"/>
      <c r="J51" s="534"/>
      <c r="K51" s="555"/>
      <c r="L51" s="556"/>
      <c r="M51" s="557" t="str">
        <f t="shared" si="3"/>
        <v/>
      </c>
      <c r="N51" s="558"/>
      <c r="O51" s="559"/>
      <c r="P51" s="560"/>
      <c r="Q51" s="559"/>
      <c r="R51" s="18" t="str">
        <f t="shared" si="12"/>
        <v/>
      </c>
      <c r="S51" s="36"/>
      <c r="T51" s="120" t="str">
        <f ca="1">INDEX('NTS ONLY_set_year'!E:E,MATCH(TEXT($X51,"Ddd"),'NTS ONLY_set_year'!C:C,0))</f>
        <v>Dim</v>
      </c>
      <c r="U51" s="186" t="str">
        <f t="shared" ca="1" si="13"/>
        <v>juin</v>
      </c>
      <c r="X51" s="347">
        <f t="shared" ca="1" si="17"/>
        <v>46173</v>
      </c>
      <c r="Y51" s="452" t="str">
        <f t="shared" ca="1" si="14"/>
        <v>Dim. juin , 2026</v>
      </c>
      <c r="Z51" s="143">
        <f t="shared" ca="1" si="4"/>
        <v>30</v>
      </c>
      <c r="AA51" s="348">
        <f t="shared" ca="1" si="5"/>
        <v>6</v>
      </c>
      <c r="AB51" s="168">
        <f t="shared" ca="1" si="15"/>
        <v>0</v>
      </c>
      <c r="AF51" s="349">
        <f t="shared" ca="1" si="6"/>
        <v>99</v>
      </c>
      <c r="AG51" s="350">
        <f ca="1">MIN(AF51:AF$195)</f>
        <v>99</v>
      </c>
      <c r="AH51" s="121" t="b">
        <f t="shared" si="7"/>
        <v>0</v>
      </c>
      <c r="AJ51" s="191">
        <f t="shared" ca="1" si="8"/>
        <v>0</v>
      </c>
      <c r="AK51" s="168">
        <f>IF(D51&lt;&gt;D50,MAX(L$20:L50),AK50)</f>
        <v>0</v>
      </c>
      <c r="AL51" s="121" t="str">
        <f t="shared" si="18"/>
        <v>- -</v>
      </c>
      <c r="AM51" s="121">
        <f>MIN(K52:K$194)</f>
        <v>0</v>
      </c>
      <c r="AN51" s="352" t="str">
        <f t="shared" si="19"/>
        <v>- -</v>
      </c>
      <c r="AP51" s="352">
        <f t="shared" si="16"/>
        <v>999</v>
      </c>
      <c r="AQ51" s="143">
        <f t="shared" ca="1" si="9"/>
        <v>1</v>
      </c>
      <c r="AR51" s="143">
        <f t="shared" ca="1" si="10"/>
        <v>0</v>
      </c>
      <c r="AU51" s="281" t="str">
        <f>IF($C51=$AB$15,'NTS ONLY_set_year'!$E$143," ")&amp;$D51</f>
        <v xml:space="preserve"> </v>
      </c>
      <c r="AV51" s="121">
        <f t="shared" ca="1" si="21"/>
        <v>0</v>
      </c>
      <c r="AW51" s="198">
        <f t="shared" ca="1" si="22"/>
        <v>0</v>
      </c>
      <c r="BM51" s="352">
        <f t="shared" si="20"/>
        <v>1</v>
      </c>
      <c r="BN51" s="281">
        <f t="shared" si="20"/>
        <v>1</v>
      </c>
      <c r="BQ51" s="251"/>
      <c r="BR51" s="7"/>
      <c r="BS51" s="7"/>
      <c r="BT51" s="7"/>
      <c r="IU51" s="16"/>
    </row>
    <row r="52" spans="2:255" ht="13.2">
      <c r="B52" s="9">
        <v>33</v>
      </c>
      <c r="C52" s="17"/>
      <c r="D52" s="72"/>
      <c r="E52" s="76"/>
      <c r="F52" s="76"/>
      <c r="G52" s="76" t="str">
        <f ca="1">IF(ISBLANK(D52),IF(AND(ISNUMBER(D51),D51&lt;$AF$5),'NTS ONLY_set_year'!$E$62,"- -"),IF(D52&gt;$AF$5,$AG$5,IF(D52&gt;D51+1,$AG$6,IF(D52&lt;D51,$AG$7,Y52))))</f>
        <v>- -</v>
      </c>
      <c r="H52" s="532"/>
      <c r="I52" s="621"/>
      <c r="J52" s="534"/>
      <c r="K52" s="555"/>
      <c r="L52" s="556"/>
      <c r="M52" s="557" t="str">
        <f t="shared" si="3"/>
        <v/>
      </c>
      <c r="N52" s="558"/>
      <c r="O52" s="559"/>
      <c r="P52" s="560"/>
      <c r="Q52" s="559"/>
      <c r="R52" s="18" t="str">
        <f t="shared" si="12"/>
        <v/>
      </c>
      <c r="S52" s="36"/>
      <c r="T52" s="120" t="str">
        <f ca="1">INDEX('NTS ONLY_set_year'!E:E,MATCH(TEXT($X52,"Ddd"),'NTS ONLY_set_year'!C:C,0))</f>
        <v>Dim</v>
      </c>
      <c r="U52" s="186" t="str">
        <f t="shared" ca="1" si="13"/>
        <v>juin</v>
      </c>
      <c r="X52" s="347">
        <f t="shared" ca="1" si="17"/>
        <v>46173</v>
      </c>
      <c r="Y52" s="452" t="str">
        <f t="shared" ca="1" si="14"/>
        <v>Dim. juin , 2026</v>
      </c>
      <c r="Z52" s="143">
        <f t="shared" ca="1" si="4"/>
        <v>30</v>
      </c>
      <c r="AA52" s="348">
        <f t="shared" ca="1" si="5"/>
        <v>6</v>
      </c>
      <c r="AB52" s="168">
        <f t="shared" ca="1" si="15"/>
        <v>0</v>
      </c>
      <c r="AF52" s="349">
        <f t="shared" ca="1" si="6"/>
        <v>99</v>
      </c>
      <c r="AG52" s="350">
        <f ca="1">MIN(AF52:AF$195)</f>
        <v>99</v>
      </c>
      <c r="AH52" s="121" t="b">
        <f t="shared" si="7"/>
        <v>0</v>
      </c>
      <c r="AJ52" s="191">
        <f t="shared" ca="1" si="8"/>
        <v>0</v>
      </c>
      <c r="AK52" s="168">
        <f>IF(D52&lt;&gt;D51,MAX(L$20:L51),AK51)</f>
        <v>0</v>
      </c>
      <c r="AL52" s="121" t="str">
        <f t="shared" si="18"/>
        <v>- -</v>
      </c>
      <c r="AM52" s="121">
        <f>MIN(K53:K$194)</f>
        <v>0</v>
      </c>
      <c r="AN52" s="352" t="str">
        <f t="shared" si="19"/>
        <v>- -</v>
      </c>
      <c r="AP52" s="352">
        <f t="shared" si="16"/>
        <v>999</v>
      </c>
      <c r="AQ52" s="143">
        <f t="shared" ca="1" si="9"/>
        <v>1</v>
      </c>
      <c r="AR52" s="143">
        <f t="shared" ca="1" si="10"/>
        <v>0</v>
      </c>
      <c r="AU52" s="281" t="str">
        <f>IF($C52=$AB$15,'NTS ONLY_set_year'!$E$143," ")&amp;$D52</f>
        <v xml:space="preserve"> </v>
      </c>
      <c r="AV52" s="121">
        <f t="shared" ca="1" si="21"/>
        <v>0</v>
      </c>
      <c r="AW52" s="198">
        <f t="shared" ca="1" si="22"/>
        <v>0</v>
      </c>
      <c r="BM52" s="352">
        <f t="shared" si="20"/>
        <v>1</v>
      </c>
      <c r="BN52" s="281">
        <f t="shared" si="20"/>
        <v>1</v>
      </c>
      <c r="BQ52" s="251"/>
      <c r="BR52" s="7"/>
      <c r="BS52" s="7"/>
      <c r="BT52" s="7"/>
      <c r="IU52" s="16"/>
    </row>
    <row r="53" spans="2:255" ht="13.2">
      <c r="B53" s="9">
        <v>34</v>
      </c>
      <c r="C53" s="17"/>
      <c r="D53" s="72"/>
      <c r="E53" s="76"/>
      <c r="F53" s="76"/>
      <c r="G53" s="76" t="str">
        <f ca="1">IF(ISBLANK(D53),IF(AND(ISNUMBER(D52),D52&lt;$AF$5),'NTS ONLY_set_year'!$E$62,"- -"),IF(D53&gt;$AF$5,$AG$5,IF(D53&gt;D52+1,$AG$6,IF(D53&lt;D52,$AG$7,Y53))))</f>
        <v>- -</v>
      </c>
      <c r="H53" s="532"/>
      <c r="I53" s="621"/>
      <c r="J53" s="534"/>
      <c r="K53" s="555"/>
      <c r="L53" s="556"/>
      <c r="M53" s="557" t="str">
        <f t="shared" si="3"/>
        <v/>
      </c>
      <c r="N53" s="558"/>
      <c r="O53" s="559"/>
      <c r="P53" s="560"/>
      <c r="Q53" s="559"/>
      <c r="R53" s="18" t="str">
        <f t="shared" si="12"/>
        <v/>
      </c>
      <c r="S53" s="36"/>
      <c r="T53" s="120" t="str">
        <f ca="1">INDEX('NTS ONLY_set_year'!E:E,MATCH(TEXT($X53,"Ddd"),'NTS ONLY_set_year'!C:C,0))</f>
        <v>Dim</v>
      </c>
      <c r="U53" s="186" t="str">
        <f t="shared" ca="1" si="13"/>
        <v>juin</v>
      </c>
      <c r="X53" s="347">
        <f t="shared" ca="1" si="17"/>
        <v>46173</v>
      </c>
      <c r="Y53" s="452" t="str">
        <f t="shared" ca="1" si="14"/>
        <v>Dim. juin , 2026</v>
      </c>
      <c r="Z53" s="143">
        <f t="shared" ca="1" si="4"/>
        <v>30</v>
      </c>
      <c r="AA53" s="348">
        <f t="shared" ca="1" si="5"/>
        <v>6</v>
      </c>
      <c r="AB53" s="168">
        <f t="shared" ca="1" si="15"/>
        <v>0</v>
      </c>
      <c r="AF53" s="349">
        <f t="shared" ca="1" si="6"/>
        <v>99</v>
      </c>
      <c r="AG53" s="350">
        <f ca="1">MIN(AF53:AF$195)</f>
        <v>99</v>
      </c>
      <c r="AH53" s="121" t="b">
        <f t="shared" si="7"/>
        <v>0</v>
      </c>
      <c r="AJ53" s="191">
        <f t="shared" ca="1" si="8"/>
        <v>0</v>
      </c>
      <c r="AK53" s="168">
        <f>IF(D53&lt;&gt;D52,MAX(L$20:L52),AK52)</f>
        <v>0</v>
      </c>
      <c r="AL53" s="121" t="str">
        <f t="shared" si="18"/>
        <v>- -</v>
      </c>
      <c r="AM53" s="121">
        <f>MIN(K54:K$194)</f>
        <v>0</v>
      </c>
      <c r="AN53" s="352" t="str">
        <f t="shared" si="19"/>
        <v>- -</v>
      </c>
      <c r="AP53" s="352">
        <f t="shared" si="16"/>
        <v>999</v>
      </c>
      <c r="AQ53" s="143">
        <f t="shared" ca="1" si="9"/>
        <v>1</v>
      </c>
      <c r="AR53" s="143">
        <f t="shared" ca="1" si="10"/>
        <v>0</v>
      </c>
      <c r="AU53" s="281" t="str">
        <f>IF($C53=$AB$15,'NTS ONLY_set_year'!$E$143," ")&amp;$D53</f>
        <v xml:space="preserve"> </v>
      </c>
      <c r="AV53" s="121">
        <f t="shared" ca="1" si="21"/>
        <v>0</v>
      </c>
      <c r="AW53" s="198">
        <f t="shared" ca="1" si="22"/>
        <v>0</v>
      </c>
      <c r="BM53" s="352">
        <f t="shared" si="20"/>
        <v>1</v>
      </c>
      <c r="BN53" s="281">
        <f t="shared" si="20"/>
        <v>1</v>
      </c>
      <c r="BQ53" s="251"/>
      <c r="BR53" s="7"/>
      <c r="BS53" s="7"/>
      <c r="BT53" s="7"/>
      <c r="IU53" s="16"/>
    </row>
    <row r="54" spans="2:255" ht="13.2">
      <c r="B54" s="9">
        <v>35</v>
      </c>
      <c r="C54" s="17"/>
      <c r="D54" s="72"/>
      <c r="E54" s="76"/>
      <c r="F54" s="76"/>
      <c r="G54" s="76" t="str">
        <f ca="1">IF(ISBLANK(D54),IF(AND(ISNUMBER(D53),D53&lt;$AF$5),'NTS ONLY_set_year'!$E$62,"- -"),IF(D54&gt;$AF$5,$AG$5,IF(D54&gt;D53+1,$AG$6,IF(D54&lt;D53,$AG$7,Y54))))</f>
        <v>- -</v>
      </c>
      <c r="H54" s="532"/>
      <c r="I54" s="621"/>
      <c r="J54" s="534"/>
      <c r="K54" s="555"/>
      <c r="L54" s="556"/>
      <c r="M54" s="557" t="str">
        <f t="shared" si="3"/>
        <v/>
      </c>
      <c r="N54" s="558"/>
      <c r="O54" s="559"/>
      <c r="P54" s="560"/>
      <c r="Q54" s="559"/>
      <c r="R54" s="18" t="str">
        <f t="shared" si="12"/>
        <v/>
      </c>
      <c r="S54" s="36"/>
      <c r="T54" s="120" t="str">
        <f ca="1">INDEX('NTS ONLY_set_year'!E:E,MATCH(TEXT($X54,"Ddd"),'NTS ONLY_set_year'!C:C,0))</f>
        <v>Dim</v>
      </c>
      <c r="U54" s="186" t="str">
        <f t="shared" ca="1" si="13"/>
        <v>juin</v>
      </c>
      <c r="X54" s="347">
        <f t="shared" ca="1" si="17"/>
        <v>46173</v>
      </c>
      <c r="Y54" s="452" t="str">
        <f t="shared" ca="1" si="14"/>
        <v>Dim. juin , 2026</v>
      </c>
      <c r="Z54" s="143">
        <f t="shared" ca="1" si="4"/>
        <v>30</v>
      </c>
      <c r="AA54" s="348">
        <f t="shared" ca="1" si="5"/>
        <v>6</v>
      </c>
      <c r="AB54" s="168">
        <f t="shared" ca="1" si="15"/>
        <v>0</v>
      </c>
      <c r="AF54" s="349">
        <f t="shared" ca="1" si="6"/>
        <v>99</v>
      </c>
      <c r="AG54" s="350">
        <f ca="1">MIN(AF54:AF$195)</f>
        <v>99</v>
      </c>
      <c r="AH54" s="121" t="b">
        <f t="shared" si="7"/>
        <v>0</v>
      </c>
      <c r="AJ54" s="191">
        <f t="shared" ca="1" si="8"/>
        <v>0</v>
      </c>
      <c r="AK54" s="168">
        <f>IF(D54&lt;&gt;D53,MAX(L$20:L53),AK53)</f>
        <v>0</v>
      </c>
      <c r="AL54" s="121" t="str">
        <f t="shared" si="18"/>
        <v>- -</v>
      </c>
      <c r="AM54" s="121">
        <f>MIN(K55:K$194)</f>
        <v>0</v>
      </c>
      <c r="AN54" s="352" t="str">
        <f t="shared" si="19"/>
        <v>- -</v>
      </c>
      <c r="AP54" s="352">
        <f t="shared" si="16"/>
        <v>999</v>
      </c>
      <c r="AQ54" s="143">
        <f t="shared" ca="1" si="9"/>
        <v>1</v>
      </c>
      <c r="AR54" s="143">
        <f t="shared" ca="1" si="10"/>
        <v>0</v>
      </c>
      <c r="AU54" s="281" t="str">
        <f>IF($C54=$AB$15,'NTS ONLY_set_year'!$E$143," ")&amp;$D54</f>
        <v xml:space="preserve"> </v>
      </c>
      <c r="AV54" s="121">
        <f t="shared" ca="1" si="21"/>
        <v>0</v>
      </c>
      <c r="AW54" s="198">
        <f t="shared" ca="1" si="22"/>
        <v>0</v>
      </c>
      <c r="BM54" s="352">
        <f t="shared" si="20"/>
        <v>1</v>
      </c>
      <c r="BN54" s="281">
        <f t="shared" si="20"/>
        <v>1</v>
      </c>
      <c r="BQ54" s="251"/>
      <c r="BR54" s="7"/>
      <c r="BS54" s="7"/>
      <c r="BT54" s="7"/>
      <c r="IU54" s="16"/>
    </row>
    <row r="55" spans="2:255" ht="13.2">
      <c r="B55" s="9">
        <v>36</v>
      </c>
      <c r="C55" s="17"/>
      <c r="D55" s="72"/>
      <c r="E55" s="76"/>
      <c r="F55" s="76"/>
      <c r="G55" s="76" t="str">
        <f ca="1">IF(ISBLANK(D55),IF(AND(ISNUMBER(D54),D54&lt;$AF$5),'NTS ONLY_set_year'!$E$62,"- -"),IF(D55&gt;$AF$5,$AG$5,IF(D55&gt;D54+1,$AG$6,IF(D55&lt;D54,$AG$7,Y55))))</f>
        <v>- -</v>
      </c>
      <c r="H55" s="532"/>
      <c r="I55" s="621"/>
      <c r="J55" s="534"/>
      <c r="K55" s="555"/>
      <c r="L55" s="556"/>
      <c r="M55" s="557" t="str">
        <f t="shared" si="3"/>
        <v/>
      </c>
      <c r="N55" s="558"/>
      <c r="O55" s="559"/>
      <c r="P55" s="560"/>
      <c r="Q55" s="559"/>
      <c r="R55" s="18" t="str">
        <f t="shared" si="12"/>
        <v/>
      </c>
      <c r="S55" s="36"/>
      <c r="T55" s="120" t="str">
        <f ca="1">INDEX('NTS ONLY_set_year'!E:E,MATCH(TEXT($X55,"Ddd"),'NTS ONLY_set_year'!C:C,0))</f>
        <v>Dim</v>
      </c>
      <c r="U55" s="186" t="str">
        <f t="shared" ca="1" si="13"/>
        <v>juin</v>
      </c>
      <c r="X55" s="347">
        <f t="shared" ca="1" si="17"/>
        <v>46173</v>
      </c>
      <c r="Y55" s="452" t="str">
        <f t="shared" ca="1" si="14"/>
        <v>Dim. juin , 2026</v>
      </c>
      <c r="Z55" s="143">
        <f t="shared" ca="1" si="4"/>
        <v>30</v>
      </c>
      <c r="AA55" s="348">
        <f t="shared" ca="1" si="5"/>
        <v>6</v>
      </c>
      <c r="AB55" s="168">
        <f t="shared" ca="1" si="15"/>
        <v>0</v>
      </c>
      <c r="AF55" s="349">
        <f t="shared" ca="1" si="6"/>
        <v>99</v>
      </c>
      <c r="AG55" s="350">
        <f ca="1">MIN(AF55:AF$195)</f>
        <v>99</v>
      </c>
      <c r="AH55" s="121" t="b">
        <f t="shared" si="7"/>
        <v>0</v>
      </c>
      <c r="AJ55" s="191">
        <f t="shared" ca="1" si="8"/>
        <v>0</v>
      </c>
      <c r="AK55" s="168">
        <f>IF(D55&lt;&gt;D54,MAX(L$20:L54),AK54)</f>
        <v>0</v>
      </c>
      <c r="AL55" s="121" t="str">
        <f t="shared" si="18"/>
        <v>- -</v>
      </c>
      <c r="AM55" s="121">
        <f>MIN(K56:K$194)</f>
        <v>0</v>
      </c>
      <c r="AN55" s="352" t="str">
        <f t="shared" si="19"/>
        <v>- -</v>
      </c>
      <c r="AP55" s="352">
        <f t="shared" si="16"/>
        <v>999</v>
      </c>
      <c r="AQ55" s="143">
        <f t="shared" ca="1" si="9"/>
        <v>1</v>
      </c>
      <c r="AR55" s="143">
        <f t="shared" ca="1" si="10"/>
        <v>0</v>
      </c>
      <c r="AU55" s="281" t="str">
        <f>IF($C55=$AB$15,'NTS ONLY_set_year'!$E$143," ")&amp;$D55</f>
        <v xml:space="preserve"> </v>
      </c>
      <c r="AV55" s="121">
        <f t="shared" ca="1" si="21"/>
        <v>0</v>
      </c>
      <c r="AW55" s="198">
        <f t="shared" ca="1" si="22"/>
        <v>0</v>
      </c>
      <c r="BM55" s="352">
        <f t="shared" si="20"/>
        <v>1</v>
      </c>
      <c r="BN55" s="281">
        <f t="shared" si="20"/>
        <v>1</v>
      </c>
      <c r="BQ55" s="251"/>
      <c r="BR55" s="7"/>
      <c r="BS55" s="7"/>
      <c r="BT55" s="7"/>
      <c r="IU55" s="16"/>
    </row>
    <row r="56" spans="2:255" ht="13.2">
      <c r="B56" s="9">
        <v>37</v>
      </c>
      <c r="C56" s="17"/>
      <c r="D56" s="72"/>
      <c r="E56" s="76"/>
      <c r="F56" s="76"/>
      <c r="G56" s="76" t="str">
        <f ca="1">IF(ISBLANK(D56),IF(AND(ISNUMBER(D55),D55&lt;$AF$5),'NTS ONLY_set_year'!$E$62,"- -"),IF(D56&gt;$AF$5,$AG$5,IF(D56&gt;D55+1,$AG$6,IF(D56&lt;D55,$AG$7,Y56))))</f>
        <v>- -</v>
      </c>
      <c r="H56" s="622"/>
      <c r="I56" s="621"/>
      <c r="J56" s="534"/>
      <c r="K56" s="555"/>
      <c r="L56" s="556"/>
      <c r="M56" s="557" t="str">
        <f t="shared" si="3"/>
        <v/>
      </c>
      <c r="N56" s="558"/>
      <c r="O56" s="559"/>
      <c r="P56" s="560"/>
      <c r="Q56" s="559"/>
      <c r="R56" s="18" t="str">
        <f t="shared" si="12"/>
        <v/>
      </c>
      <c r="S56" s="36"/>
      <c r="T56" s="120" t="str">
        <f ca="1">INDEX('NTS ONLY_set_year'!E:E,MATCH(TEXT($X56,"Ddd"),'NTS ONLY_set_year'!C:C,0))</f>
        <v>Dim</v>
      </c>
      <c r="U56" s="186" t="str">
        <f t="shared" ca="1" si="13"/>
        <v>juin</v>
      </c>
      <c r="X56" s="347">
        <f t="shared" ca="1" si="17"/>
        <v>46173</v>
      </c>
      <c r="Y56" s="452" t="str">
        <f t="shared" ca="1" si="14"/>
        <v>Dim. juin , 2026</v>
      </c>
      <c r="Z56" s="143">
        <f t="shared" ca="1" si="4"/>
        <v>30</v>
      </c>
      <c r="AA56" s="348">
        <f t="shared" ca="1" si="5"/>
        <v>6</v>
      </c>
      <c r="AB56" s="168">
        <f t="shared" ca="1" si="15"/>
        <v>0</v>
      </c>
      <c r="AF56" s="349">
        <f t="shared" ca="1" si="6"/>
        <v>99</v>
      </c>
      <c r="AG56" s="350">
        <f ca="1">MIN(AF56:AF$195)</f>
        <v>99</v>
      </c>
      <c r="AH56" s="121" t="b">
        <f t="shared" si="7"/>
        <v>0</v>
      </c>
      <c r="AJ56" s="191">
        <f t="shared" ca="1" si="8"/>
        <v>0</v>
      </c>
      <c r="AK56" s="168">
        <f>IF(D56&lt;&gt;D55,MAX(L$20:L55),AK55)</f>
        <v>0</v>
      </c>
      <c r="AL56" s="121" t="str">
        <f t="shared" si="18"/>
        <v>- -</v>
      </c>
      <c r="AM56" s="121">
        <f>MIN(K57:K$194)</f>
        <v>0</v>
      </c>
      <c r="AN56" s="352" t="str">
        <f t="shared" si="19"/>
        <v>- -</v>
      </c>
      <c r="AP56" s="352">
        <f t="shared" si="16"/>
        <v>999</v>
      </c>
      <c r="AQ56" s="143">
        <f t="shared" ca="1" si="9"/>
        <v>1</v>
      </c>
      <c r="AR56" s="143">
        <f t="shared" ca="1" si="10"/>
        <v>0</v>
      </c>
      <c r="AU56" s="281" t="str">
        <f>IF($C56=$AB$15,'NTS ONLY_set_year'!$E$143," ")&amp;$D56</f>
        <v xml:space="preserve"> </v>
      </c>
      <c r="AV56" s="121">
        <f t="shared" ca="1" si="21"/>
        <v>0</v>
      </c>
      <c r="AW56" s="198">
        <f t="shared" ca="1" si="22"/>
        <v>0</v>
      </c>
      <c r="BM56" s="352">
        <f t="shared" si="20"/>
        <v>1</v>
      </c>
      <c r="BN56" s="281">
        <f t="shared" si="20"/>
        <v>1</v>
      </c>
      <c r="BQ56" s="251"/>
      <c r="BR56" s="7"/>
      <c r="BS56" s="7"/>
      <c r="BT56" s="7"/>
      <c r="IU56" s="16"/>
    </row>
    <row r="57" spans="2:255" ht="13.2">
      <c r="B57" s="9">
        <v>38</v>
      </c>
      <c r="C57" s="17"/>
      <c r="D57" s="72"/>
      <c r="E57" s="76"/>
      <c r="F57" s="76"/>
      <c r="G57" s="76" t="str">
        <f ca="1">IF(ISBLANK(D57),IF(AND(ISNUMBER(D56),D56&lt;$AF$5),'NTS ONLY_set_year'!$E$62,"- -"),IF(D57&gt;$AF$5,$AG$5,IF(D57&gt;D56+1,$AG$6,IF(D57&lt;D56,$AG$7,Y57))))</f>
        <v>- -</v>
      </c>
      <c r="H57" s="532"/>
      <c r="I57" s="621"/>
      <c r="J57" s="534"/>
      <c r="K57" s="555"/>
      <c r="L57" s="556"/>
      <c r="M57" s="557" t="str">
        <f t="shared" si="3"/>
        <v/>
      </c>
      <c r="N57" s="558"/>
      <c r="O57" s="559"/>
      <c r="P57" s="560"/>
      <c r="Q57" s="559"/>
      <c r="R57" s="18" t="str">
        <f t="shared" si="12"/>
        <v/>
      </c>
      <c r="S57" s="36"/>
      <c r="T57" s="120" t="str">
        <f ca="1">INDEX('NTS ONLY_set_year'!E:E,MATCH(TEXT($X57,"Ddd"),'NTS ONLY_set_year'!C:C,0))</f>
        <v>Dim</v>
      </c>
      <c r="U57" s="186" t="str">
        <f t="shared" ca="1" si="13"/>
        <v>juin</v>
      </c>
      <c r="X57" s="347">
        <f t="shared" ca="1" si="17"/>
        <v>46173</v>
      </c>
      <c r="Y57" s="452" t="str">
        <f t="shared" ca="1" si="14"/>
        <v>Dim. juin , 2026</v>
      </c>
      <c r="Z57" s="143">
        <f t="shared" ca="1" si="4"/>
        <v>30</v>
      </c>
      <c r="AA57" s="348">
        <f t="shared" ca="1" si="5"/>
        <v>6</v>
      </c>
      <c r="AB57" s="168">
        <f t="shared" ca="1" si="15"/>
        <v>0</v>
      </c>
      <c r="AF57" s="349">
        <f t="shared" ca="1" si="6"/>
        <v>99</v>
      </c>
      <c r="AG57" s="350">
        <f ca="1">MIN(AF57:AF$195)</f>
        <v>99</v>
      </c>
      <c r="AH57" s="121" t="b">
        <f t="shared" si="7"/>
        <v>0</v>
      </c>
      <c r="AJ57" s="191">
        <f t="shared" ca="1" si="8"/>
        <v>0</v>
      </c>
      <c r="AK57" s="168">
        <f>IF(D57&lt;&gt;D56,MAX(L$20:L56),AK56)</f>
        <v>0</v>
      </c>
      <c r="AL57" s="121" t="str">
        <f t="shared" si="18"/>
        <v>- -</v>
      </c>
      <c r="AM57" s="121">
        <f>MIN(K58:K$194)</f>
        <v>0</v>
      </c>
      <c r="AN57" s="352" t="str">
        <f t="shared" si="19"/>
        <v>- -</v>
      </c>
      <c r="AP57" s="352">
        <f t="shared" si="16"/>
        <v>999</v>
      </c>
      <c r="AQ57" s="143">
        <f t="shared" ca="1" si="9"/>
        <v>1</v>
      </c>
      <c r="AR57" s="143">
        <f t="shared" ca="1" si="10"/>
        <v>0</v>
      </c>
      <c r="AU57" s="281" t="str">
        <f>IF($C57=$AB$15,'NTS ONLY_set_year'!$E$143," ")&amp;$D57</f>
        <v xml:space="preserve"> </v>
      </c>
      <c r="AV57" s="121">
        <f t="shared" ca="1" si="21"/>
        <v>0</v>
      </c>
      <c r="AW57" s="198">
        <f t="shared" ca="1" si="22"/>
        <v>0</v>
      </c>
      <c r="BM57" s="352">
        <f t="shared" si="20"/>
        <v>1</v>
      </c>
      <c r="BN57" s="281">
        <f t="shared" si="20"/>
        <v>1</v>
      </c>
      <c r="BQ57" s="251"/>
      <c r="BR57" s="7"/>
      <c r="BS57" s="7"/>
      <c r="BT57" s="7"/>
      <c r="IU57" s="16"/>
    </row>
    <row r="58" spans="2:255" ht="13.2">
      <c r="B58" s="9">
        <v>39</v>
      </c>
      <c r="C58" s="17"/>
      <c r="D58" s="72"/>
      <c r="E58" s="76"/>
      <c r="F58" s="76"/>
      <c r="G58" s="76" t="str">
        <f ca="1">IF(ISBLANK(D58),IF(AND(ISNUMBER(D57),D57&lt;$AF$5),'NTS ONLY_set_year'!$E$62,"- -"),IF(D58&gt;$AF$5,$AG$5,IF(D58&gt;D57+1,$AG$6,IF(D58&lt;D57,$AG$7,Y58))))</f>
        <v>- -</v>
      </c>
      <c r="H58" s="532"/>
      <c r="I58" s="621"/>
      <c r="J58" s="534"/>
      <c r="K58" s="555"/>
      <c r="L58" s="556"/>
      <c r="M58" s="557" t="str">
        <f t="shared" si="3"/>
        <v/>
      </c>
      <c r="N58" s="558"/>
      <c r="O58" s="559"/>
      <c r="P58" s="560"/>
      <c r="Q58" s="559"/>
      <c r="R58" s="18" t="str">
        <f t="shared" si="12"/>
        <v/>
      </c>
      <c r="S58" s="36"/>
      <c r="T58" s="120" t="str">
        <f ca="1">INDEX('NTS ONLY_set_year'!E:E,MATCH(TEXT($X58,"Ddd"),'NTS ONLY_set_year'!C:C,0))</f>
        <v>Dim</v>
      </c>
      <c r="U58" s="186" t="str">
        <f t="shared" ca="1" si="13"/>
        <v>juin</v>
      </c>
      <c r="X58" s="347">
        <f t="shared" ca="1" si="17"/>
        <v>46173</v>
      </c>
      <c r="Y58" s="452" t="str">
        <f t="shared" ca="1" si="14"/>
        <v>Dim. juin , 2026</v>
      </c>
      <c r="Z58" s="143">
        <f t="shared" ca="1" si="4"/>
        <v>30</v>
      </c>
      <c r="AA58" s="348">
        <f t="shared" ca="1" si="5"/>
        <v>6</v>
      </c>
      <c r="AB58" s="168">
        <f t="shared" ca="1" si="15"/>
        <v>0</v>
      </c>
      <c r="AF58" s="349">
        <f t="shared" ca="1" si="6"/>
        <v>99</v>
      </c>
      <c r="AG58" s="350">
        <f ca="1">MIN(AF58:AF$195)</f>
        <v>99</v>
      </c>
      <c r="AH58" s="121" t="b">
        <f t="shared" si="7"/>
        <v>0</v>
      </c>
      <c r="AJ58" s="191">
        <f t="shared" ca="1" si="8"/>
        <v>0</v>
      </c>
      <c r="AK58" s="168">
        <f>IF(D58&lt;&gt;D57,MAX(L$20:L57),AK57)</f>
        <v>0</v>
      </c>
      <c r="AL58" s="121" t="str">
        <f t="shared" si="18"/>
        <v>- -</v>
      </c>
      <c r="AM58" s="121">
        <f>MIN(K59:K$194)</f>
        <v>0</v>
      </c>
      <c r="AN58" s="352" t="str">
        <f t="shared" si="19"/>
        <v>- -</v>
      </c>
      <c r="AP58" s="352">
        <f t="shared" si="16"/>
        <v>999</v>
      </c>
      <c r="AQ58" s="143">
        <f t="shared" ca="1" si="9"/>
        <v>1</v>
      </c>
      <c r="AR58" s="143">
        <f t="shared" ca="1" si="10"/>
        <v>0</v>
      </c>
      <c r="AU58" s="281" t="str">
        <f>IF($C58=$AB$15,'NTS ONLY_set_year'!$E$143," ")&amp;$D58</f>
        <v xml:space="preserve"> </v>
      </c>
      <c r="AV58" s="121">
        <f t="shared" ca="1" si="21"/>
        <v>0</v>
      </c>
      <c r="AW58" s="198">
        <f t="shared" ca="1" si="22"/>
        <v>0</v>
      </c>
      <c r="BM58" s="352">
        <f t="shared" si="20"/>
        <v>1</v>
      </c>
      <c r="BN58" s="281">
        <f t="shared" si="20"/>
        <v>1</v>
      </c>
      <c r="BQ58" s="251"/>
      <c r="BR58" s="7"/>
      <c r="BS58" s="7"/>
      <c r="BT58" s="7"/>
      <c r="IU58" s="16"/>
    </row>
    <row r="59" spans="2:255" ht="13.2">
      <c r="B59" s="9">
        <v>40</v>
      </c>
      <c r="C59" s="17"/>
      <c r="D59" s="72"/>
      <c r="E59" s="76"/>
      <c r="F59" s="76"/>
      <c r="G59" s="76" t="str">
        <f ca="1">IF(ISBLANK(D59),IF(AND(ISNUMBER(D58),D58&lt;$AF$5),'NTS ONLY_set_year'!$E$62,"- -"),IF(D59&gt;$AF$5,$AG$5,IF(D59&gt;D58+1,$AG$6,IF(D59&lt;D58,$AG$7,Y59))))</f>
        <v>- -</v>
      </c>
      <c r="H59" s="532"/>
      <c r="I59" s="621"/>
      <c r="J59" s="534"/>
      <c r="K59" s="555"/>
      <c r="L59" s="556"/>
      <c r="M59" s="557" t="str">
        <f t="shared" si="3"/>
        <v/>
      </c>
      <c r="N59" s="558"/>
      <c r="O59" s="559"/>
      <c r="P59" s="560"/>
      <c r="Q59" s="559"/>
      <c r="R59" s="18" t="str">
        <f t="shared" si="12"/>
        <v/>
      </c>
      <c r="S59" s="36"/>
      <c r="T59" s="120" t="str">
        <f ca="1">INDEX('NTS ONLY_set_year'!E:E,MATCH(TEXT($X59,"Ddd"),'NTS ONLY_set_year'!C:C,0))</f>
        <v>Dim</v>
      </c>
      <c r="U59" s="186" t="str">
        <f t="shared" ca="1" si="13"/>
        <v>juin</v>
      </c>
      <c r="X59" s="347">
        <f t="shared" ca="1" si="17"/>
        <v>46173</v>
      </c>
      <c r="Y59" s="452" t="str">
        <f t="shared" ca="1" si="14"/>
        <v>Dim. juin , 2026</v>
      </c>
      <c r="Z59" s="143">
        <f t="shared" ca="1" si="4"/>
        <v>30</v>
      </c>
      <c r="AA59" s="348">
        <f t="shared" ca="1" si="5"/>
        <v>6</v>
      </c>
      <c r="AB59" s="168">
        <f t="shared" ca="1" si="15"/>
        <v>0</v>
      </c>
      <c r="AF59" s="349">
        <f t="shared" ca="1" si="6"/>
        <v>99</v>
      </c>
      <c r="AG59" s="350">
        <f ca="1">MIN(AF59:AF$195)</f>
        <v>99</v>
      </c>
      <c r="AH59" s="121" t="b">
        <f t="shared" si="7"/>
        <v>0</v>
      </c>
      <c r="AJ59" s="191">
        <f t="shared" ca="1" si="8"/>
        <v>0</v>
      </c>
      <c r="AK59" s="168">
        <f>IF(D59&lt;&gt;D58,MAX(L$20:L58),AK58)</f>
        <v>0</v>
      </c>
      <c r="AL59" s="121" t="str">
        <f t="shared" si="18"/>
        <v>- -</v>
      </c>
      <c r="AM59" s="121">
        <f>MIN(K60:K$194)</f>
        <v>0</v>
      </c>
      <c r="AN59" s="352" t="str">
        <f t="shared" si="19"/>
        <v>- -</v>
      </c>
      <c r="AP59" s="352">
        <f t="shared" si="16"/>
        <v>999</v>
      </c>
      <c r="AQ59" s="143">
        <f t="shared" ca="1" si="9"/>
        <v>1</v>
      </c>
      <c r="AR59" s="143">
        <f t="shared" ca="1" si="10"/>
        <v>0</v>
      </c>
      <c r="AU59" s="281" t="str">
        <f>IF($C59=$AB$15,'NTS ONLY_set_year'!$E$143," ")&amp;$D59</f>
        <v xml:space="preserve"> </v>
      </c>
      <c r="AV59" s="121">
        <f t="shared" ca="1" si="21"/>
        <v>0</v>
      </c>
      <c r="AW59" s="198">
        <f t="shared" ca="1" si="22"/>
        <v>0</v>
      </c>
      <c r="BM59" s="352">
        <f t="shared" si="20"/>
        <v>1</v>
      </c>
      <c r="BN59" s="281">
        <f t="shared" si="20"/>
        <v>1</v>
      </c>
      <c r="BQ59" s="251"/>
      <c r="BR59" s="7"/>
      <c r="BS59" s="7"/>
      <c r="BT59" s="7"/>
      <c r="IU59" s="16"/>
    </row>
    <row r="60" spans="2:255" ht="13.2">
      <c r="B60" s="9">
        <v>41</v>
      </c>
      <c r="C60" s="17"/>
      <c r="D60" s="72"/>
      <c r="E60" s="76"/>
      <c r="F60" s="76"/>
      <c r="G60" s="76" t="str">
        <f ca="1">IF(ISBLANK(D60),IF(AND(ISNUMBER(D59),D59&lt;$AF$5),'NTS ONLY_set_year'!$E$62,"- -"),IF(D60&gt;$AF$5,$AG$5,IF(D60&gt;D59+1,$AG$6,IF(D60&lt;D59,$AG$7,Y60))))</f>
        <v>- -</v>
      </c>
      <c r="H60" s="532"/>
      <c r="I60" s="621"/>
      <c r="J60" s="534"/>
      <c r="K60" s="555"/>
      <c r="L60" s="556"/>
      <c r="M60" s="557" t="str">
        <f t="shared" si="3"/>
        <v/>
      </c>
      <c r="N60" s="558"/>
      <c r="O60" s="559"/>
      <c r="P60" s="560"/>
      <c r="Q60" s="559"/>
      <c r="R60" s="18" t="str">
        <f t="shared" si="12"/>
        <v/>
      </c>
      <c r="S60" s="36"/>
      <c r="T60" s="120" t="str">
        <f ca="1">INDEX('NTS ONLY_set_year'!E:E,MATCH(TEXT($X60,"Ddd"),'NTS ONLY_set_year'!C:C,0))</f>
        <v>Dim</v>
      </c>
      <c r="U60" s="186" t="str">
        <f t="shared" ca="1" si="13"/>
        <v>juin</v>
      </c>
      <c r="X60" s="347">
        <f t="shared" ca="1" si="17"/>
        <v>46173</v>
      </c>
      <c r="Y60" s="452" t="str">
        <f t="shared" ca="1" si="14"/>
        <v>Dim. juin , 2026</v>
      </c>
      <c r="Z60" s="143">
        <f t="shared" ca="1" si="4"/>
        <v>30</v>
      </c>
      <c r="AA60" s="348">
        <f t="shared" ca="1" si="5"/>
        <v>6</v>
      </c>
      <c r="AB60" s="168">
        <f t="shared" ca="1" si="15"/>
        <v>0</v>
      </c>
      <c r="AF60" s="349">
        <f t="shared" ca="1" si="6"/>
        <v>99</v>
      </c>
      <c r="AG60" s="350">
        <f ca="1">MIN(AF60:AF$195)</f>
        <v>99</v>
      </c>
      <c r="AH60" s="121" t="b">
        <f t="shared" si="7"/>
        <v>0</v>
      </c>
      <c r="AJ60" s="191">
        <f t="shared" ca="1" si="8"/>
        <v>0</v>
      </c>
      <c r="AK60" s="168">
        <f>IF(D60&lt;&gt;D59,MAX(L$20:L59),AK59)</f>
        <v>0</v>
      </c>
      <c r="AL60" s="121" t="str">
        <f t="shared" si="18"/>
        <v>- -</v>
      </c>
      <c r="AM60" s="121">
        <f>MIN(K61:K$194)</f>
        <v>0</v>
      </c>
      <c r="AN60" s="352" t="str">
        <f t="shared" si="19"/>
        <v>- -</v>
      </c>
      <c r="AP60" s="352">
        <f t="shared" si="16"/>
        <v>999</v>
      </c>
      <c r="AQ60" s="143">
        <f t="shared" ca="1" si="9"/>
        <v>1</v>
      </c>
      <c r="AR60" s="143">
        <f t="shared" ca="1" si="10"/>
        <v>0</v>
      </c>
      <c r="AU60" s="281" t="str">
        <f>IF($C60=$AB$15,'NTS ONLY_set_year'!$E$143," ")&amp;$D60</f>
        <v xml:space="preserve"> </v>
      </c>
      <c r="AV60" s="121">
        <f t="shared" ca="1" si="21"/>
        <v>0</v>
      </c>
      <c r="AW60" s="198">
        <f t="shared" ca="1" si="22"/>
        <v>0</v>
      </c>
      <c r="BM60" s="352">
        <f t="shared" si="20"/>
        <v>1</v>
      </c>
      <c r="BN60" s="281">
        <f t="shared" si="20"/>
        <v>1</v>
      </c>
      <c r="BQ60" s="251"/>
      <c r="BR60" s="7"/>
      <c r="BS60" s="7"/>
      <c r="BT60" s="7"/>
      <c r="IU60" s="16"/>
    </row>
    <row r="61" spans="2:255" ht="13.2">
      <c r="B61" s="9">
        <v>42</v>
      </c>
      <c r="C61" s="17"/>
      <c r="D61" s="72"/>
      <c r="E61" s="76"/>
      <c r="F61" s="76"/>
      <c r="G61" s="76" t="str">
        <f ca="1">IF(ISBLANK(D61),IF(AND(ISNUMBER(D60),D60&lt;$AF$5),'NTS ONLY_set_year'!$E$62,"- -"),IF(D61&gt;$AF$5,$AG$5,IF(D61&gt;D60+1,$AG$6,IF(D61&lt;D60,$AG$7,Y61))))</f>
        <v>- -</v>
      </c>
      <c r="H61" s="532"/>
      <c r="I61" s="621"/>
      <c r="J61" s="534"/>
      <c r="K61" s="555"/>
      <c r="L61" s="556"/>
      <c r="M61" s="557" t="str">
        <f t="shared" si="3"/>
        <v/>
      </c>
      <c r="N61" s="558"/>
      <c r="O61" s="559"/>
      <c r="P61" s="560"/>
      <c r="Q61" s="559"/>
      <c r="R61" s="18" t="str">
        <f t="shared" si="12"/>
        <v/>
      </c>
      <c r="S61" s="36"/>
      <c r="T61" s="120" t="str">
        <f ca="1">INDEX('NTS ONLY_set_year'!E:E,MATCH(TEXT($X61,"Ddd"),'NTS ONLY_set_year'!C:C,0))</f>
        <v>Dim</v>
      </c>
      <c r="U61" s="186" t="str">
        <f t="shared" ca="1" si="13"/>
        <v>juin</v>
      </c>
      <c r="X61" s="347">
        <f t="shared" ca="1" si="17"/>
        <v>46173</v>
      </c>
      <c r="Y61" s="452" t="str">
        <f t="shared" ca="1" si="14"/>
        <v>Dim. juin , 2026</v>
      </c>
      <c r="Z61" s="143">
        <f t="shared" ca="1" si="4"/>
        <v>30</v>
      </c>
      <c r="AA61" s="348">
        <f t="shared" ca="1" si="5"/>
        <v>6</v>
      </c>
      <c r="AB61" s="168">
        <f t="shared" ca="1" si="15"/>
        <v>0</v>
      </c>
      <c r="AF61" s="349">
        <f t="shared" ca="1" si="6"/>
        <v>99</v>
      </c>
      <c r="AG61" s="350">
        <f ca="1">MIN(AF61:AF$195)</f>
        <v>99</v>
      </c>
      <c r="AH61" s="121" t="b">
        <f t="shared" si="7"/>
        <v>0</v>
      </c>
      <c r="AJ61" s="191">
        <f t="shared" ca="1" si="8"/>
        <v>0</v>
      </c>
      <c r="AK61" s="168">
        <f>IF(D61&lt;&gt;D60,MAX(L$20:L60),AK60)</f>
        <v>0</v>
      </c>
      <c r="AL61" s="121" t="str">
        <f t="shared" si="18"/>
        <v>- -</v>
      </c>
      <c r="AM61" s="121">
        <f>MIN(K62:K$194)</f>
        <v>0</v>
      </c>
      <c r="AN61" s="352" t="str">
        <f t="shared" si="19"/>
        <v>- -</v>
      </c>
      <c r="AP61" s="352">
        <f t="shared" si="16"/>
        <v>999</v>
      </c>
      <c r="AQ61" s="143">
        <f t="shared" ca="1" si="9"/>
        <v>1</v>
      </c>
      <c r="AR61" s="143">
        <f t="shared" ca="1" si="10"/>
        <v>0</v>
      </c>
      <c r="AU61" s="281" t="str">
        <f>IF($C61=$AB$15,'NTS ONLY_set_year'!$E$143," ")&amp;$D61</f>
        <v xml:space="preserve"> </v>
      </c>
      <c r="AV61" s="121">
        <f t="shared" ca="1" si="21"/>
        <v>0</v>
      </c>
      <c r="AW61" s="198">
        <f t="shared" ca="1" si="22"/>
        <v>0</v>
      </c>
      <c r="BM61" s="352">
        <f t="shared" si="20"/>
        <v>1</v>
      </c>
      <c r="BN61" s="281">
        <f t="shared" si="20"/>
        <v>1</v>
      </c>
      <c r="BQ61" s="251"/>
      <c r="BR61" s="7"/>
      <c r="BS61" s="7"/>
      <c r="BT61" s="7"/>
      <c r="IU61" s="16"/>
    </row>
    <row r="62" spans="2:255" ht="13.2">
      <c r="B62" s="9">
        <v>43</v>
      </c>
      <c r="C62" s="17"/>
      <c r="D62" s="72"/>
      <c r="E62" s="76"/>
      <c r="F62" s="76"/>
      <c r="G62" s="76" t="str">
        <f ca="1">IF(ISBLANK(D62),IF(AND(ISNUMBER(D61),D61&lt;$AF$5),'NTS ONLY_set_year'!$E$62,"- -"),IF(D62&gt;$AF$5,$AG$5,IF(D62&gt;D61+1,$AG$6,IF(D62&lt;D61,$AG$7,Y62))))</f>
        <v>- -</v>
      </c>
      <c r="H62" s="532"/>
      <c r="I62" s="621"/>
      <c r="J62" s="534"/>
      <c r="K62" s="555"/>
      <c r="L62" s="556"/>
      <c r="M62" s="557" t="str">
        <f t="shared" si="3"/>
        <v/>
      </c>
      <c r="N62" s="558"/>
      <c r="O62" s="559"/>
      <c r="P62" s="560"/>
      <c r="Q62" s="559"/>
      <c r="R62" s="18" t="str">
        <f t="shared" si="12"/>
        <v/>
      </c>
      <c r="S62" s="36"/>
      <c r="T62" s="120" t="str">
        <f ca="1">INDEX('NTS ONLY_set_year'!E:E,MATCH(TEXT($X62,"Ddd"),'NTS ONLY_set_year'!C:C,0))</f>
        <v>Dim</v>
      </c>
      <c r="U62" s="186" t="str">
        <f t="shared" ca="1" si="13"/>
        <v>juin</v>
      </c>
      <c r="X62" s="347">
        <f t="shared" ca="1" si="17"/>
        <v>46173</v>
      </c>
      <c r="Y62" s="452" t="str">
        <f t="shared" ca="1" si="14"/>
        <v>Dim. juin , 2026</v>
      </c>
      <c r="Z62" s="143">
        <f t="shared" ca="1" si="4"/>
        <v>30</v>
      </c>
      <c r="AA62" s="348">
        <f t="shared" ca="1" si="5"/>
        <v>6</v>
      </c>
      <c r="AB62" s="168">
        <f t="shared" ca="1" si="15"/>
        <v>0</v>
      </c>
      <c r="AF62" s="349">
        <f t="shared" ca="1" si="6"/>
        <v>99</v>
      </c>
      <c r="AG62" s="350">
        <f ca="1">MIN(AF62:AF$195)</f>
        <v>99</v>
      </c>
      <c r="AH62" s="121" t="b">
        <f t="shared" si="7"/>
        <v>0</v>
      </c>
      <c r="AJ62" s="191">
        <f t="shared" ca="1" si="8"/>
        <v>0</v>
      </c>
      <c r="AK62" s="168">
        <f>IF(D62&lt;&gt;D61,MAX(L$20:L61),AK61)</f>
        <v>0</v>
      </c>
      <c r="AL62" s="121" t="str">
        <f t="shared" si="18"/>
        <v>- -</v>
      </c>
      <c r="AM62" s="121">
        <f>MIN(K63:K$194)</f>
        <v>0</v>
      </c>
      <c r="AN62" s="352" t="str">
        <f t="shared" si="19"/>
        <v>- -</v>
      </c>
      <c r="AP62" s="352">
        <f t="shared" si="16"/>
        <v>999</v>
      </c>
      <c r="AQ62" s="143">
        <f t="shared" ca="1" si="9"/>
        <v>1</v>
      </c>
      <c r="AR62" s="143">
        <f t="shared" ca="1" si="10"/>
        <v>0</v>
      </c>
      <c r="AU62" s="281" t="str">
        <f>IF($C62=$AB$15,'NTS ONLY_set_year'!$E$143," ")&amp;$D62</f>
        <v xml:space="preserve"> </v>
      </c>
      <c r="AV62" s="121">
        <f t="shared" ca="1" si="21"/>
        <v>0</v>
      </c>
      <c r="AW62" s="198">
        <f t="shared" ca="1" si="22"/>
        <v>0</v>
      </c>
      <c r="BM62" s="352">
        <f t="shared" si="20"/>
        <v>1</v>
      </c>
      <c r="BN62" s="281">
        <f t="shared" si="20"/>
        <v>1</v>
      </c>
      <c r="BQ62" s="251"/>
      <c r="BR62" s="7"/>
      <c r="BS62" s="7"/>
      <c r="BT62" s="7"/>
      <c r="IU62" s="16"/>
    </row>
    <row r="63" spans="2:255" ht="13.2">
      <c r="B63" s="9">
        <v>44</v>
      </c>
      <c r="C63" s="17"/>
      <c r="D63" s="72"/>
      <c r="E63" s="76"/>
      <c r="F63" s="76"/>
      <c r="G63" s="76" t="str">
        <f ca="1">IF(ISBLANK(D63),IF(AND(ISNUMBER(D62),D62&lt;$AF$5),'NTS ONLY_set_year'!$E$62,"- -"),IF(D63&gt;$AF$5,$AG$5,IF(D63&gt;D62+1,$AG$6,IF(D63&lt;D62,$AG$7,Y63))))</f>
        <v>- -</v>
      </c>
      <c r="H63" s="532"/>
      <c r="I63" s="621"/>
      <c r="J63" s="534"/>
      <c r="K63" s="555"/>
      <c r="L63" s="556"/>
      <c r="M63" s="557" t="str">
        <f t="shared" si="3"/>
        <v/>
      </c>
      <c r="N63" s="558"/>
      <c r="O63" s="559"/>
      <c r="P63" s="560"/>
      <c r="Q63" s="559"/>
      <c r="R63" s="18" t="str">
        <f t="shared" si="12"/>
        <v/>
      </c>
      <c r="S63" s="36"/>
      <c r="T63" s="120" t="str">
        <f ca="1">INDEX('NTS ONLY_set_year'!E:E,MATCH(TEXT($X63,"Ddd"),'NTS ONLY_set_year'!C:C,0))</f>
        <v>Dim</v>
      </c>
      <c r="U63" s="186" t="str">
        <f t="shared" ca="1" si="13"/>
        <v>juin</v>
      </c>
      <c r="X63" s="347">
        <f t="shared" ca="1" si="17"/>
        <v>46173</v>
      </c>
      <c r="Y63" s="452" t="str">
        <f t="shared" ca="1" si="14"/>
        <v>Dim. juin , 2026</v>
      </c>
      <c r="Z63" s="143">
        <f t="shared" ca="1" si="4"/>
        <v>30</v>
      </c>
      <c r="AA63" s="348">
        <f t="shared" ca="1" si="5"/>
        <v>6</v>
      </c>
      <c r="AB63" s="168">
        <f t="shared" ca="1" si="15"/>
        <v>0</v>
      </c>
      <c r="AF63" s="349">
        <f t="shared" ca="1" si="6"/>
        <v>99</v>
      </c>
      <c r="AG63" s="350">
        <f ca="1">MIN(AF63:AF$195)</f>
        <v>99</v>
      </c>
      <c r="AH63" s="121" t="b">
        <f t="shared" si="7"/>
        <v>0</v>
      </c>
      <c r="AJ63" s="191">
        <f t="shared" ca="1" si="8"/>
        <v>0</v>
      </c>
      <c r="AK63" s="168">
        <f>IF(D63&lt;&gt;D62,MAX(L$20:L62),AK62)</f>
        <v>0</v>
      </c>
      <c r="AL63" s="121" t="str">
        <f t="shared" si="18"/>
        <v>- -</v>
      </c>
      <c r="AM63" s="121">
        <f>MIN(K64:K$194)</f>
        <v>0</v>
      </c>
      <c r="AN63" s="352" t="str">
        <f t="shared" si="19"/>
        <v>- -</v>
      </c>
      <c r="AP63" s="352">
        <f t="shared" si="16"/>
        <v>999</v>
      </c>
      <c r="AQ63" s="143">
        <f t="shared" ca="1" si="9"/>
        <v>1</v>
      </c>
      <c r="AR63" s="143">
        <f t="shared" ca="1" si="10"/>
        <v>0</v>
      </c>
      <c r="AU63" s="281" t="str">
        <f>IF($C63=$AB$15,'NTS ONLY_set_year'!$E$143," ")&amp;$D63</f>
        <v xml:space="preserve"> </v>
      </c>
      <c r="AV63" s="121">
        <f t="shared" ca="1" si="21"/>
        <v>0</v>
      </c>
      <c r="AW63" s="198">
        <f t="shared" ca="1" si="22"/>
        <v>0</v>
      </c>
      <c r="BM63" s="352">
        <f t="shared" si="20"/>
        <v>1</v>
      </c>
      <c r="BN63" s="281">
        <f t="shared" si="20"/>
        <v>1</v>
      </c>
      <c r="BQ63" s="251"/>
      <c r="BR63" s="7"/>
      <c r="BS63" s="7"/>
      <c r="BT63" s="7"/>
      <c r="IU63" s="16"/>
    </row>
    <row r="64" spans="2:255" ht="13.2">
      <c r="B64" s="9">
        <v>45</v>
      </c>
      <c r="C64" s="17"/>
      <c r="D64" s="72"/>
      <c r="E64" s="76"/>
      <c r="F64" s="76"/>
      <c r="G64" s="76" t="str">
        <f ca="1">IF(ISBLANK(D64),IF(AND(ISNUMBER(D63),D63&lt;$AF$5),'NTS ONLY_set_year'!$E$62,"- -"),IF(D64&gt;$AF$5,$AG$5,IF(D64&gt;D63+1,$AG$6,IF(D64&lt;D63,$AG$7,Y64))))</f>
        <v>- -</v>
      </c>
      <c r="H64" s="532"/>
      <c r="I64" s="621"/>
      <c r="J64" s="534"/>
      <c r="K64" s="555"/>
      <c r="L64" s="556"/>
      <c r="M64" s="557" t="str">
        <f t="shared" si="3"/>
        <v/>
      </c>
      <c r="N64" s="558"/>
      <c r="O64" s="559"/>
      <c r="P64" s="560"/>
      <c r="Q64" s="559"/>
      <c r="R64" s="18" t="str">
        <f t="shared" si="12"/>
        <v/>
      </c>
      <c r="S64" s="36"/>
      <c r="T64" s="120" t="str">
        <f ca="1">INDEX('NTS ONLY_set_year'!E:E,MATCH(TEXT($X64,"Ddd"),'NTS ONLY_set_year'!C:C,0))</f>
        <v>Dim</v>
      </c>
      <c r="U64" s="186" t="str">
        <f t="shared" ca="1" si="13"/>
        <v>juin</v>
      </c>
      <c r="X64" s="347">
        <f t="shared" ca="1" si="17"/>
        <v>46173</v>
      </c>
      <c r="Y64" s="452" t="str">
        <f t="shared" ca="1" si="14"/>
        <v>Dim. juin , 2026</v>
      </c>
      <c r="Z64" s="143">
        <f t="shared" ca="1" si="4"/>
        <v>30</v>
      </c>
      <c r="AA64" s="348">
        <f t="shared" ca="1" si="5"/>
        <v>6</v>
      </c>
      <c r="AB64" s="168">
        <f t="shared" ca="1" si="15"/>
        <v>0</v>
      </c>
      <c r="AF64" s="349">
        <f t="shared" ca="1" si="6"/>
        <v>99</v>
      </c>
      <c r="AG64" s="350">
        <f ca="1">MIN(AF64:AF$195)</f>
        <v>99</v>
      </c>
      <c r="AH64" s="121" t="b">
        <f t="shared" si="7"/>
        <v>0</v>
      </c>
      <c r="AJ64" s="191">
        <f t="shared" ca="1" si="8"/>
        <v>0</v>
      </c>
      <c r="AK64" s="168">
        <f>IF(D64&lt;&gt;D63,MAX(L$20:L63),AK63)</f>
        <v>0</v>
      </c>
      <c r="AL64" s="121" t="str">
        <f t="shared" si="18"/>
        <v>- -</v>
      </c>
      <c r="AM64" s="121">
        <f>MIN(K65:K$194)</f>
        <v>0</v>
      </c>
      <c r="AN64" s="352" t="str">
        <f t="shared" si="19"/>
        <v>- -</v>
      </c>
      <c r="AP64" s="352">
        <f t="shared" si="16"/>
        <v>999</v>
      </c>
      <c r="AQ64" s="143">
        <f t="shared" ca="1" si="9"/>
        <v>1</v>
      </c>
      <c r="AR64" s="143">
        <f t="shared" ca="1" si="10"/>
        <v>0</v>
      </c>
      <c r="AU64" s="281" t="str">
        <f>IF($C64=$AB$15,'NTS ONLY_set_year'!$E$143," ")&amp;$D64</f>
        <v xml:space="preserve"> </v>
      </c>
      <c r="AV64" s="121">
        <f t="shared" ca="1" si="21"/>
        <v>0</v>
      </c>
      <c r="AW64" s="198">
        <f t="shared" ca="1" si="22"/>
        <v>0</v>
      </c>
      <c r="BM64" s="352">
        <f t="shared" si="20"/>
        <v>1</v>
      </c>
      <c r="BN64" s="281">
        <f t="shared" si="20"/>
        <v>1</v>
      </c>
      <c r="BQ64" s="251"/>
      <c r="BR64" s="7"/>
      <c r="BS64" s="7"/>
      <c r="BT64" s="7"/>
      <c r="IU64" s="16"/>
    </row>
    <row r="65" spans="2:255" ht="13.2">
      <c r="B65" s="9">
        <v>46</v>
      </c>
      <c r="C65" s="17"/>
      <c r="D65" s="72"/>
      <c r="E65" s="76"/>
      <c r="F65" s="76"/>
      <c r="G65" s="76" t="str">
        <f ca="1">IF(ISBLANK(D65),IF(AND(ISNUMBER(D64),D64&lt;$AF$5),'NTS ONLY_set_year'!$E$62,"- -"),IF(D65&gt;$AF$5,$AG$5,IF(D65&gt;D64+1,$AG$6,IF(D65&lt;D64,$AG$7,Y65))))</f>
        <v>- -</v>
      </c>
      <c r="H65" s="532"/>
      <c r="I65" s="621"/>
      <c r="J65" s="534"/>
      <c r="K65" s="555"/>
      <c r="L65" s="556"/>
      <c r="M65" s="557" t="str">
        <f t="shared" si="3"/>
        <v/>
      </c>
      <c r="N65" s="558"/>
      <c r="O65" s="559"/>
      <c r="P65" s="560"/>
      <c r="Q65" s="559"/>
      <c r="R65" s="18" t="str">
        <f t="shared" si="12"/>
        <v/>
      </c>
      <c r="S65" s="36"/>
      <c r="T65" s="120" t="str">
        <f ca="1">INDEX('NTS ONLY_set_year'!E:E,MATCH(TEXT($X65,"Ddd"),'NTS ONLY_set_year'!C:C,0))</f>
        <v>Dim</v>
      </c>
      <c r="U65" s="186" t="str">
        <f t="shared" ca="1" si="13"/>
        <v>juin</v>
      </c>
      <c r="X65" s="347">
        <f t="shared" ca="1" si="17"/>
        <v>46173</v>
      </c>
      <c r="Y65" s="452" t="str">
        <f t="shared" ca="1" si="14"/>
        <v>Dim. juin , 2026</v>
      </c>
      <c r="Z65" s="143">
        <f t="shared" ca="1" si="4"/>
        <v>30</v>
      </c>
      <c r="AA65" s="348">
        <f t="shared" ca="1" si="5"/>
        <v>6</v>
      </c>
      <c r="AB65" s="168">
        <f t="shared" ca="1" si="15"/>
        <v>0</v>
      </c>
      <c r="AF65" s="349">
        <f t="shared" ca="1" si="6"/>
        <v>99</v>
      </c>
      <c r="AG65" s="350">
        <f ca="1">MIN(AF65:AF$195)</f>
        <v>99</v>
      </c>
      <c r="AH65" s="121" t="b">
        <f t="shared" si="7"/>
        <v>0</v>
      </c>
      <c r="AJ65" s="191">
        <f t="shared" ca="1" si="8"/>
        <v>0</v>
      </c>
      <c r="AK65" s="168">
        <f>IF(D65&lt;&gt;D64,MAX(L$20:L64),AK64)</f>
        <v>0</v>
      </c>
      <c r="AL65" s="121" t="str">
        <f t="shared" si="18"/>
        <v>- -</v>
      </c>
      <c r="AM65" s="121">
        <f>MIN(K66:K$194)</f>
        <v>0</v>
      </c>
      <c r="AN65" s="352" t="str">
        <f t="shared" si="19"/>
        <v>- -</v>
      </c>
      <c r="AP65" s="352">
        <f t="shared" si="16"/>
        <v>999</v>
      </c>
      <c r="AQ65" s="143">
        <f t="shared" ca="1" si="9"/>
        <v>1</v>
      </c>
      <c r="AR65" s="143">
        <f t="shared" ca="1" si="10"/>
        <v>0</v>
      </c>
      <c r="AU65" s="281" t="str">
        <f>IF($C65=$AB$15,'NTS ONLY_set_year'!$E$143," ")&amp;$D65</f>
        <v xml:space="preserve"> </v>
      </c>
      <c r="AV65" s="121">
        <f t="shared" ca="1" si="21"/>
        <v>0</v>
      </c>
      <c r="AW65" s="198">
        <f t="shared" ca="1" si="22"/>
        <v>0</v>
      </c>
      <c r="BM65" s="352">
        <f t="shared" si="20"/>
        <v>1</v>
      </c>
      <c r="BN65" s="281">
        <f t="shared" si="20"/>
        <v>1</v>
      </c>
      <c r="BQ65" s="251"/>
      <c r="BR65" s="7"/>
      <c r="BS65" s="7"/>
      <c r="BT65" s="7"/>
      <c r="IU65" s="16"/>
    </row>
    <row r="66" spans="2:255" ht="13.2">
      <c r="B66" s="9">
        <v>47</v>
      </c>
      <c r="C66" s="17"/>
      <c r="D66" s="72"/>
      <c r="E66" s="76"/>
      <c r="F66" s="76"/>
      <c r="G66" s="76" t="str">
        <f ca="1">IF(ISBLANK(D66),IF(AND(ISNUMBER(D65),D65&lt;$AF$5),'NTS ONLY_set_year'!$E$62,"- -"),IF(D66&gt;$AF$5,$AG$5,IF(D66&gt;D65+1,$AG$6,IF(D66&lt;D65,$AG$7,Y66))))</f>
        <v>- -</v>
      </c>
      <c r="H66" s="532"/>
      <c r="I66" s="621"/>
      <c r="J66" s="534"/>
      <c r="K66" s="555"/>
      <c r="L66" s="556"/>
      <c r="M66" s="557" t="str">
        <f t="shared" si="3"/>
        <v/>
      </c>
      <c r="N66" s="558"/>
      <c r="O66" s="559"/>
      <c r="P66" s="560"/>
      <c r="Q66" s="559"/>
      <c r="R66" s="18" t="str">
        <f t="shared" si="12"/>
        <v/>
      </c>
      <c r="S66" s="36"/>
      <c r="T66" s="120" t="str">
        <f ca="1">INDEX('NTS ONLY_set_year'!E:E,MATCH(TEXT($X66,"Ddd"),'NTS ONLY_set_year'!C:C,0))</f>
        <v>Dim</v>
      </c>
      <c r="U66" s="186" t="str">
        <f t="shared" ca="1" si="13"/>
        <v>juin</v>
      </c>
      <c r="X66" s="347">
        <f t="shared" ca="1" si="17"/>
        <v>46173</v>
      </c>
      <c r="Y66" s="452" t="str">
        <f t="shared" ca="1" si="14"/>
        <v>Dim. juin , 2026</v>
      </c>
      <c r="Z66" s="143">
        <f t="shared" ca="1" si="4"/>
        <v>30</v>
      </c>
      <c r="AA66" s="348">
        <f t="shared" ca="1" si="5"/>
        <v>6</v>
      </c>
      <c r="AB66" s="168">
        <f t="shared" ca="1" si="15"/>
        <v>0</v>
      </c>
      <c r="AF66" s="349">
        <f t="shared" ca="1" si="6"/>
        <v>99</v>
      </c>
      <c r="AG66" s="350">
        <f ca="1">MIN(AF66:AF$195)</f>
        <v>99</v>
      </c>
      <c r="AH66" s="121" t="b">
        <f t="shared" si="7"/>
        <v>0</v>
      </c>
      <c r="AJ66" s="191">
        <f t="shared" ca="1" si="8"/>
        <v>0</v>
      </c>
      <c r="AK66" s="168">
        <f>IF(D66&lt;&gt;D65,MAX(L$20:L65),AK65)</f>
        <v>0</v>
      </c>
      <c r="AL66" s="121" t="str">
        <f t="shared" si="18"/>
        <v>- -</v>
      </c>
      <c r="AM66" s="121">
        <f>MIN(K67:K$194)</f>
        <v>0</v>
      </c>
      <c r="AN66" s="352" t="str">
        <f t="shared" si="19"/>
        <v>- -</v>
      </c>
      <c r="AP66" s="352">
        <f t="shared" si="16"/>
        <v>999</v>
      </c>
      <c r="AQ66" s="143">
        <f t="shared" ca="1" si="9"/>
        <v>1</v>
      </c>
      <c r="AR66" s="143">
        <f t="shared" ca="1" si="10"/>
        <v>0</v>
      </c>
      <c r="AU66" s="281" t="str">
        <f>IF($C66=$AB$15,'NTS ONLY_set_year'!$E$143," ")&amp;$D66</f>
        <v xml:space="preserve"> </v>
      </c>
      <c r="AV66" s="121">
        <f t="shared" ca="1" si="21"/>
        <v>0</v>
      </c>
      <c r="AW66" s="198">
        <f t="shared" ca="1" si="22"/>
        <v>0</v>
      </c>
      <c r="BM66" s="352">
        <f t="shared" si="20"/>
        <v>1</v>
      </c>
      <c r="BN66" s="281">
        <f t="shared" si="20"/>
        <v>1</v>
      </c>
      <c r="BQ66" s="251"/>
      <c r="BR66" s="7"/>
      <c r="BS66" s="7"/>
      <c r="BT66" s="7"/>
      <c r="IU66" s="16"/>
    </row>
    <row r="67" spans="2:255" ht="13.2">
      <c r="B67" s="9">
        <v>48</v>
      </c>
      <c r="C67" s="17"/>
      <c r="D67" s="72"/>
      <c r="E67" s="76"/>
      <c r="F67" s="76"/>
      <c r="G67" s="76" t="str">
        <f ca="1">IF(ISBLANK(D67),IF(AND(ISNUMBER(D66),D66&lt;$AF$5),'NTS ONLY_set_year'!$E$62,"- -"),IF(D67&gt;$AF$5,$AG$5,IF(D67&gt;D66+1,$AG$6,IF(D67&lt;D66,$AG$7,Y67))))</f>
        <v>- -</v>
      </c>
      <c r="H67" s="532"/>
      <c r="I67" s="621"/>
      <c r="J67" s="534"/>
      <c r="K67" s="555"/>
      <c r="L67" s="556"/>
      <c r="M67" s="557" t="str">
        <f t="shared" si="3"/>
        <v/>
      </c>
      <c r="N67" s="558"/>
      <c r="O67" s="559"/>
      <c r="P67" s="560"/>
      <c r="Q67" s="559"/>
      <c r="R67" s="18" t="str">
        <f t="shared" si="12"/>
        <v/>
      </c>
      <c r="S67" s="36"/>
      <c r="T67" s="120" t="str">
        <f ca="1">INDEX('NTS ONLY_set_year'!E:E,MATCH(TEXT($X67,"Ddd"),'NTS ONLY_set_year'!C:C,0))</f>
        <v>Dim</v>
      </c>
      <c r="U67" s="186" t="str">
        <f t="shared" ca="1" si="13"/>
        <v>juin</v>
      </c>
      <c r="X67" s="347">
        <f t="shared" ca="1" si="17"/>
        <v>46173</v>
      </c>
      <c r="Y67" s="452" t="str">
        <f t="shared" ca="1" si="14"/>
        <v>Dim. juin , 2026</v>
      </c>
      <c r="Z67" s="143">
        <f t="shared" ca="1" si="4"/>
        <v>30</v>
      </c>
      <c r="AA67" s="348">
        <f t="shared" ca="1" si="5"/>
        <v>6</v>
      </c>
      <c r="AB67" s="168">
        <f t="shared" ca="1" si="15"/>
        <v>0</v>
      </c>
      <c r="AF67" s="349">
        <f t="shared" ca="1" si="6"/>
        <v>99</v>
      </c>
      <c r="AG67" s="350">
        <f ca="1">MIN(AF67:AF$195)</f>
        <v>99</v>
      </c>
      <c r="AH67" s="121" t="b">
        <f t="shared" si="7"/>
        <v>0</v>
      </c>
      <c r="AJ67" s="191">
        <f t="shared" ca="1" si="8"/>
        <v>0</v>
      </c>
      <c r="AK67" s="168">
        <f>IF(D67&lt;&gt;D66,MAX(L$20:L66),AK66)</f>
        <v>0</v>
      </c>
      <c r="AL67" s="121" t="str">
        <f t="shared" si="18"/>
        <v>- -</v>
      </c>
      <c r="AM67" s="121">
        <f>MIN(K68:K$194)</f>
        <v>0</v>
      </c>
      <c r="AN67" s="352" t="str">
        <f t="shared" si="19"/>
        <v>- -</v>
      </c>
      <c r="AP67" s="352">
        <f t="shared" si="16"/>
        <v>999</v>
      </c>
      <c r="AQ67" s="143">
        <f t="shared" ca="1" si="9"/>
        <v>1</v>
      </c>
      <c r="AR67" s="143">
        <f t="shared" ca="1" si="10"/>
        <v>0</v>
      </c>
      <c r="AU67" s="281" t="str">
        <f>IF($C67=$AB$15,'NTS ONLY_set_year'!$E$143," ")&amp;$D67</f>
        <v xml:space="preserve"> </v>
      </c>
      <c r="AV67" s="121">
        <f t="shared" ca="1" si="21"/>
        <v>0</v>
      </c>
      <c r="AW67" s="198">
        <f t="shared" ca="1" si="22"/>
        <v>0</v>
      </c>
      <c r="BM67" s="352">
        <f t="shared" si="20"/>
        <v>1</v>
      </c>
      <c r="BN67" s="281">
        <f t="shared" si="20"/>
        <v>1</v>
      </c>
      <c r="BQ67" s="251"/>
      <c r="BR67" s="7"/>
      <c r="BS67" s="7"/>
      <c r="BT67" s="7"/>
      <c r="IU67" s="16"/>
    </row>
    <row r="68" spans="2:255" ht="13.2">
      <c r="B68" s="9">
        <v>49</v>
      </c>
      <c r="C68" s="17"/>
      <c r="D68" s="72"/>
      <c r="E68" s="76"/>
      <c r="F68" s="76"/>
      <c r="G68" s="76" t="str">
        <f ca="1">IF(ISBLANK(D68),IF(AND(ISNUMBER(D67),D67&lt;$AF$5),'NTS ONLY_set_year'!$E$62,"- -"),IF(D68&gt;$AF$5,$AG$5,IF(D68&gt;D67+1,$AG$6,IF(D68&lt;D67,$AG$7,Y68))))</f>
        <v>- -</v>
      </c>
      <c r="H68" s="532"/>
      <c r="I68" s="621"/>
      <c r="J68" s="534"/>
      <c r="K68" s="555"/>
      <c r="L68" s="556"/>
      <c r="M68" s="557" t="str">
        <f t="shared" si="3"/>
        <v/>
      </c>
      <c r="N68" s="558"/>
      <c r="O68" s="559"/>
      <c r="P68" s="560"/>
      <c r="Q68" s="559"/>
      <c r="R68" s="18" t="str">
        <f t="shared" si="12"/>
        <v/>
      </c>
      <c r="S68" s="36"/>
      <c r="T68" s="120" t="str">
        <f ca="1">INDEX('NTS ONLY_set_year'!E:E,MATCH(TEXT($X68,"Ddd"),'NTS ONLY_set_year'!C:C,0))</f>
        <v>Dim</v>
      </c>
      <c r="U68" s="186" t="str">
        <f t="shared" ca="1" si="13"/>
        <v>juin</v>
      </c>
      <c r="X68" s="347">
        <f t="shared" ca="1" si="17"/>
        <v>46173</v>
      </c>
      <c r="Y68" s="452" t="str">
        <f t="shared" ca="1" si="14"/>
        <v>Dim. juin , 2026</v>
      </c>
      <c r="Z68" s="143">
        <f t="shared" ca="1" si="4"/>
        <v>30</v>
      </c>
      <c r="AA68" s="348">
        <f t="shared" ca="1" si="5"/>
        <v>6</v>
      </c>
      <c r="AB68" s="168">
        <f t="shared" ca="1" si="15"/>
        <v>0</v>
      </c>
      <c r="AF68" s="349">
        <f t="shared" ca="1" si="6"/>
        <v>99</v>
      </c>
      <c r="AG68" s="350">
        <f ca="1">MIN(AF68:AF$195)</f>
        <v>99</v>
      </c>
      <c r="AH68" s="121" t="b">
        <f t="shared" si="7"/>
        <v>0</v>
      </c>
      <c r="AJ68" s="191">
        <f t="shared" ca="1" si="8"/>
        <v>0</v>
      </c>
      <c r="AK68" s="168">
        <f>IF(D68&lt;&gt;D67,MAX(L$20:L67),AK67)</f>
        <v>0</v>
      </c>
      <c r="AL68" s="121" t="str">
        <f t="shared" si="18"/>
        <v>- -</v>
      </c>
      <c r="AM68" s="121">
        <f>MIN(K69:K$194)</f>
        <v>0</v>
      </c>
      <c r="AN68" s="352" t="str">
        <f t="shared" si="19"/>
        <v>- -</v>
      </c>
      <c r="AP68" s="352">
        <f t="shared" si="16"/>
        <v>999</v>
      </c>
      <c r="AQ68" s="143">
        <f t="shared" ca="1" si="9"/>
        <v>1</v>
      </c>
      <c r="AR68" s="143">
        <f t="shared" ca="1" si="10"/>
        <v>0</v>
      </c>
      <c r="AU68" s="281" t="str">
        <f>IF($C68=$AB$15,'NTS ONLY_set_year'!$E$143," ")&amp;$D68</f>
        <v xml:space="preserve"> </v>
      </c>
      <c r="AV68" s="121">
        <f t="shared" ca="1" si="21"/>
        <v>0</v>
      </c>
      <c r="AW68" s="198">
        <f t="shared" ca="1" si="22"/>
        <v>0</v>
      </c>
      <c r="BM68" s="352">
        <f t="shared" si="20"/>
        <v>1</v>
      </c>
      <c r="BN68" s="281">
        <f t="shared" si="20"/>
        <v>1</v>
      </c>
      <c r="BQ68" s="251"/>
      <c r="BR68" s="7"/>
      <c r="BS68" s="7"/>
      <c r="BT68" s="7"/>
      <c r="IU68" s="16"/>
    </row>
    <row r="69" spans="2:255" ht="13.2">
      <c r="B69" s="9">
        <v>50</v>
      </c>
      <c r="C69" s="17"/>
      <c r="D69" s="72"/>
      <c r="E69" s="76"/>
      <c r="F69" s="76"/>
      <c r="G69" s="76" t="str">
        <f ca="1">IF(ISBLANK(D69),IF(AND(ISNUMBER(D68),D68&lt;$AF$5),'NTS ONLY_set_year'!$E$62,"- -"),IF(D69&gt;$AF$5,$AG$5,IF(D69&gt;D68+1,$AG$6,IF(D69&lt;D68,$AG$7,Y69))))</f>
        <v>- -</v>
      </c>
      <c r="H69" s="532"/>
      <c r="I69" s="621"/>
      <c r="J69" s="534"/>
      <c r="K69" s="555"/>
      <c r="L69" s="556"/>
      <c r="M69" s="557" t="str">
        <f t="shared" si="3"/>
        <v/>
      </c>
      <c r="N69" s="558"/>
      <c r="O69" s="559"/>
      <c r="P69" s="560"/>
      <c r="Q69" s="559"/>
      <c r="R69" s="18" t="str">
        <f t="shared" si="12"/>
        <v/>
      </c>
      <c r="S69" s="36"/>
      <c r="T69" s="120" t="str">
        <f ca="1">INDEX('NTS ONLY_set_year'!E:E,MATCH(TEXT($X69,"Ddd"),'NTS ONLY_set_year'!C:C,0))</f>
        <v>Dim</v>
      </c>
      <c r="U69" s="186" t="str">
        <f t="shared" ca="1" si="13"/>
        <v>juin</v>
      </c>
      <c r="X69" s="347">
        <f t="shared" ca="1" si="17"/>
        <v>46173</v>
      </c>
      <c r="Y69" s="452" t="str">
        <f t="shared" ca="1" si="14"/>
        <v>Dim. juin , 2026</v>
      </c>
      <c r="Z69" s="143">
        <f t="shared" ca="1" si="4"/>
        <v>30</v>
      </c>
      <c r="AA69" s="348">
        <f t="shared" ca="1" si="5"/>
        <v>6</v>
      </c>
      <c r="AB69" s="168">
        <f t="shared" ca="1" si="15"/>
        <v>0</v>
      </c>
      <c r="AF69" s="349">
        <f t="shared" ca="1" si="6"/>
        <v>99</v>
      </c>
      <c r="AG69" s="350">
        <f ca="1">MIN(AF69:AF$195)</f>
        <v>99</v>
      </c>
      <c r="AH69" s="121" t="b">
        <f t="shared" si="7"/>
        <v>0</v>
      </c>
      <c r="AJ69" s="191">
        <f t="shared" ca="1" si="8"/>
        <v>0</v>
      </c>
      <c r="AK69" s="168">
        <f>IF(D69&lt;&gt;D68,MAX(L$20:L68),AK68)</f>
        <v>0</v>
      </c>
      <c r="AL69" s="121" t="str">
        <f t="shared" si="18"/>
        <v>- -</v>
      </c>
      <c r="AM69" s="121">
        <f>MIN(K70:K$194)</f>
        <v>0</v>
      </c>
      <c r="AN69" s="352" t="str">
        <f t="shared" si="19"/>
        <v>- -</v>
      </c>
      <c r="AP69" s="352">
        <f t="shared" si="16"/>
        <v>999</v>
      </c>
      <c r="AQ69" s="143">
        <f t="shared" ca="1" si="9"/>
        <v>1</v>
      </c>
      <c r="AR69" s="143">
        <f t="shared" ca="1" si="10"/>
        <v>0</v>
      </c>
      <c r="AU69" s="281" t="str">
        <f>IF($C69=$AB$15,'NTS ONLY_set_year'!$E$143," ")&amp;$D69</f>
        <v xml:space="preserve"> </v>
      </c>
      <c r="AV69" s="121">
        <f t="shared" ca="1" si="21"/>
        <v>0</v>
      </c>
      <c r="AW69" s="198">
        <f t="shared" ca="1" si="22"/>
        <v>0</v>
      </c>
      <c r="BM69" s="352">
        <f t="shared" si="20"/>
        <v>1</v>
      </c>
      <c r="BN69" s="281">
        <f t="shared" si="20"/>
        <v>1</v>
      </c>
      <c r="BQ69" s="251"/>
      <c r="BR69" s="7"/>
      <c r="BS69" s="7"/>
      <c r="BT69" s="7"/>
      <c r="IU69" s="16"/>
    </row>
    <row r="70" spans="2:255" ht="13.2">
      <c r="B70" s="9">
        <v>51</v>
      </c>
      <c r="C70" s="17"/>
      <c r="D70" s="72"/>
      <c r="E70" s="76"/>
      <c r="F70" s="76"/>
      <c r="G70" s="76" t="str">
        <f ca="1">IF(ISBLANK(D70),IF(AND(ISNUMBER(D69),D69&lt;$AF$5),'NTS ONLY_set_year'!$E$62,"- -"),IF(D70&gt;$AF$5,$AG$5,IF(D70&gt;D69+1,$AG$6,IF(D70&lt;D69,$AG$7,Y70))))</f>
        <v>- -</v>
      </c>
      <c r="H70" s="532"/>
      <c r="I70" s="621"/>
      <c r="J70" s="534"/>
      <c r="K70" s="555"/>
      <c r="L70" s="556"/>
      <c r="M70" s="557" t="str">
        <f t="shared" si="3"/>
        <v/>
      </c>
      <c r="N70" s="558"/>
      <c r="O70" s="559"/>
      <c r="P70" s="560"/>
      <c r="Q70" s="559"/>
      <c r="R70" s="18" t="str">
        <f t="shared" si="12"/>
        <v/>
      </c>
      <c r="S70" s="36"/>
      <c r="T70" s="120" t="str">
        <f ca="1">INDEX('NTS ONLY_set_year'!E:E,MATCH(TEXT($X70,"Ddd"),'NTS ONLY_set_year'!C:C,0))</f>
        <v>Dim</v>
      </c>
      <c r="U70" s="186" t="str">
        <f t="shared" ca="1" si="13"/>
        <v>juin</v>
      </c>
      <c r="X70" s="347">
        <f t="shared" ca="1" si="17"/>
        <v>46173</v>
      </c>
      <c r="Y70" s="452" t="str">
        <f t="shared" ca="1" si="14"/>
        <v>Dim. juin , 2026</v>
      </c>
      <c r="Z70" s="143">
        <f t="shared" ca="1" si="4"/>
        <v>30</v>
      </c>
      <c r="AA70" s="348">
        <f t="shared" ca="1" si="5"/>
        <v>6</v>
      </c>
      <c r="AB70" s="168">
        <f t="shared" ca="1" si="15"/>
        <v>0</v>
      </c>
      <c r="AF70" s="349">
        <f t="shared" ca="1" si="6"/>
        <v>99</v>
      </c>
      <c r="AG70" s="350">
        <f ca="1">MIN(AF70:AF$195)</f>
        <v>99</v>
      </c>
      <c r="AH70" s="121" t="b">
        <f t="shared" si="7"/>
        <v>0</v>
      </c>
      <c r="AJ70" s="191">
        <f t="shared" ca="1" si="8"/>
        <v>0</v>
      </c>
      <c r="AK70" s="168">
        <f>IF(D70&lt;&gt;D69,MAX(L$20:L69),AK69)</f>
        <v>0</v>
      </c>
      <c r="AL70" s="121" t="str">
        <f t="shared" si="18"/>
        <v>- -</v>
      </c>
      <c r="AM70" s="121">
        <f>MIN(K71:K$194)</f>
        <v>0</v>
      </c>
      <c r="AN70" s="352" t="str">
        <f t="shared" si="19"/>
        <v>- -</v>
      </c>
      <c r="AP70" s="352">
        <f t="shared" si="16"/>
        <v>999</v>
      </c>
      <c r="AQ70" s="143">
        <f t="shared" ca="1" si="9"/>
        <v>1</v>
      </c>
      <c r="AR70" s="143">
        <f t="shared" ca="1" si="10"/>
        <v>0</v>
      </c>
      <c r="AU70" s="281" t="str">
        <f>IF($C70=$AB$15,'NTS ONLY_set_year'!$E$143," ")&amp;$D70</f>
        <v xml:space="preserve"> </v>
      </c>
      <c r="AV70" s="121">
        <f t="shared" ca="1" si="21"/>
        <v>0</v>
      </c>
      <c r="AW70" s="198">
        <f t="shared" ca="1" si="22"/>
        <v>0</v>
      </c>
      <c r="BM70" s="352">
        <f t="shared" si="20"/>
        <v>1</v>
      </c>
      <c r="BN70" s="281">
        <f t="shared" si="20"/>
        <v>1</v>
      </c>
      <c r="BQ70" s="251"/>
      <c r="BR70" s="7"/>
      <c r="BS70" s="7"/>
      <c r="BT70" s="7"/>
      <c r="IU70" s="16"/>
    </row>
    <row r="71" spans="2:255" ht="13.2">
      <c r="B71" s="9">
        <v>52</v>
      </c>
      <c r="C71" s="17"/>
      <c r="D71" s="72"/>
      <c r="E71" s="76"/>
      <c r="F71" s="76"/>
      <c r="G71" s="76" t="str">
        <f ca="1">IF(ISBLANK(D71),IF(AND(ISNUMBER(D70),D70&lt;$AF$5),'NTS ONLY_set_year'!$E$62,"- -"),IF(D71&gt;$AF$5,$AG$5,IF(D71&gt;D70+1,$AG$6,IF(D71&lt;D70,$AG$7,Y71))))</f>
        <v>- -</v>
      </c>
      <c r="H71" s="532"/>
      <c r="I71" s="621"/>
      <c r="J71" s="534"/>
      <c r="K71" s="555"/>
      <c r="L71" s="556"/>
      <c r="M71" s="557" t="str">
        <f t="shared" si="3"/>
        <v/>
      </c>
      <c r="N71" s="558"/>
      <c r="O71" s="559"/>
      <c r="P71" s="560"/>
      <c r="Q71" s="559"/>
      <c r="R71" s="18" t="str">
        <f t="shared" si="12"/>
        <v/>
      </c>
      <c r="S71" s="36"/>
      <c r="T71" s="120" t="str">
        <f ca="1">INDEX('NTS ONLY_set_year'!E:E,MATCH(TEXT($X71,"Ddd"),'NTS ONLY_set_year'!C:C,0))</f>
        <v>Dim</v>
      </c>
      <c r="U71" s="186" t="str">
        <f t="shared" ca="1" si="13"/>
        <v>juin</v>
      </c>
      <c r="X71" s="347">
        <f t="shared" ca="1" si="17"/>
        <v>46173</v>
      </c>
      <c r="Y71" s="452" t="str">
        <f t="shared" ca="1" si="14"/>
        <v>Dim. juin , 2026</v>
      </c>
      <c r="Z71" s="143">
        <f t="shared" ca="1" si="4"/>
        <v>30</v>
      </c>
      <c r="AA71" s="348">
        <f t="shared" ca="1" si="5"/>
        <v>6</v>
      </c>
      <c r="AB71" s="168">
        <f t="shared" ca="1" si="15"/>
        <v>0</v>
      </c>
      <c r="AF71" s="349">
        <f t="shared" ca="1" si="6"/>
        <v>99</v>
      </c>
      <c r="AG71" s="350">
        <f ca="1">MIN(AF71:AF$195)</f>
        <v>99</v>
      </c>
      <c r="AH71" s="121" t="b">
        <f t="shared" si="7"/>
        <v>0</v>
      </c>
      <c r="AJ71" s="191">
        <f t="shared" ca="1" si="8"/>
        <v>0</v>
      </c>
      <c r="AK71" s="168">
        <f>IF(D71&lt;&gt;D70,MAX(L$20:L70),AK70)</f>
        <v>0</v>
      </c>
      <c r="AL71" s="121" t="str">
        <f t="shared" si="18"/>
        <v>- -</v>
      </c>
      <c r="AM71" s="121">
        <f>MIN(K72:K$194)</f>
        <v>0</v>
      </c>
      <c r="AN71" s="352" t="str">
        <f t="shared" si="19"/>
        <v>- -</v>
      </c>
      <c r="AP71" s="352">
        <f t="shared" si="16"/>
        <v>999</v>
      </c>
      <c r="AQ71" s="143">
        <f t="shared" ca="1" si="9"/>
        <v>1</v>
      </c>
      <c r="AR71" s="143">
        <f t="shared" ca="1" si="10"/>
        <v>0</v>
      </c>
      <c r="AU71" s="281" t="str">
        <f>IF($C71=$AB$15,'NTS ONLY_set_year'!$E$143," ")&amp;$D71</f>
        <v xml:space="preserve"> </v>
      </c>
      <c r="AV71" s="121">
        <f t="shared" ca="1" si="21"/>
        <v>0</v>
      </c>
      <c r="AW71" s="198">
        <f t="shared" ca="1" si="22"/>
        <v>0</v>
      </c>
      <c r="BM71" s="352">
        <f t="shared" si="20"/>
        <v>1</v>
      </c>
      <c r="BN71" s="281">
        <f t="shared" si="20"/>
        <v>1</v>
      </c>
      <c r="BQ71" s="251"/>
      <c r="BR71" s="7"/>
      <c r="BS71" s="7"/>
      <c r="BT71" s="7"/>
      <c r="IU71" s="16"/>
    </row>
    <row r="72" spans="2:255" ht="13.2">
      <c r="B72" s="9">
        <v>53</v>
      </c>
      <c r="C72" s="17"/>
      <c r="D72" s="72"/>
      <c r="E72" s="76"/>
      <c r="F72" s="76"/>
      <c r="G72" s="76" t="str">
        <f ca="1">IF(ISBLANK(D72),IF(AND(ISNUMBER(D71),D71&lt;$AF$5),'NTS ONLY_set_year'!$E$62,"- -"),IF(D72&gt;$AF$5,$AG$5,IF(D72&gt;D71+1,$AG$6,IF(D72&lt;D71,$AG$7,Y72))))</f>
        <v>- -</v>
      </c>
      <c r="H72" s="532"/>
      <c r="I72" s="621"/>
      <c r="J72" s="534"/>
      <c r="K72" s="555"/>
      <c r="L72" s="556"/>
      <c r="M72" s="557" t="str">
        <f t="shared" si="3"/>
        <v/>
      </c>
      <c r="N72" s="558"/>
      <c r="O72" s="559"/>
      <c r="P72" s="560"/>
      <c r="Q72" s="559"/>
      <c r="R72" s="18" t="str">
        <f t="shared" si="12"/>
        <v/>
      </c>
      <c r="S72" s="36"/>
      <c r="T72" s="120" t="str">
        <f ca="1">INDEX('NTS ONLY_set_year'!E:E,MATCH(TEXT($X72,"Ddd"),'NTS ONLY_set_year'!C:C,0))</f>
        <v>Dim</v>
      </c>
      <c r="U72" s="186" t="str">
        <f t="shared" ca="1" si="13"/>
        <v>juin</v>
      </c>
      <c r="X72" s="347">
        <f t="shared" ca="1" si="17"/>
        <v>46173</v>
      </c>
      <c r="Y72" s="452" t="str">
        <f t="shared" ca="1" si="14"/>
        <v>Dim. juin , 2026</v>
      </c>
      <c r="Z72" s="143">
        <f t="shared" ca="1" si="4"/>
        <v>30</v>
      </c>
      <c r="AA72" s="348">
        <f t="shared" ca="1" si="5"/>
        <v>6</v>
      </c>
      <c r="AB72" s="168">
        <f t="shared" ca="1" si="15"/>
        <v>0</v>
      </c>
      <c r="AF72" s="349">
        <f t="shared" ca="1" si="6"/>
        <v>99</v>
      </c>
      <c r="AG72" s="350">
        <f ca="1">MIN(AF72:AF$195)</f>
        <v>99</v>
      </c>
      <c r="AH72" s="121" t="b">
        <f t="shared" si="7"/>
        <v>0</v>
      </c>
      <c r="AJ72" s="191">
        <f t="shared" ca="1" si="8"/>
        <v>0</v>
      </c>
      <c r="AK72" s="168">
        <f>IF(D72&lt;&gt;D71,MAX(L$20:L71),AK71)</f>
        <v>0</v>
      </c>
      <c r="AL72" s="121" t="str">
        <f t="shared" si="18"/>
        <v>- -</v>
      </c>
      <c r="AM72" s="121">
        <f>MIN(K73:K$194)</f>
        <v>0</v>
      </c>
      <c r="AN72" s="352" t="str">
        <f t="shared" si="19"/>
        <v>- -</v>
      </c>
      <c r="AP72" s="352">
        <f t="shared" si="16"/>
        <v>999</v>
      </c>
      <c r="AQ72" s="143">
        <f t="shared" ca="1" si="9"/>
        <v>1</v>
      </c>
      <c r="AR72" s="143">
        <f t="shared" ca="1" si="10"/>
        <v>0</v>
      </c>
      <c r="AU72" s="281" t="str">
        <f>IF($C72=$AB$15,'NTS ONLY_set_year'!$E$143," ")&amp;$D72</f>
        <v xml:space="preserve"> </v>
      </c>
      <c r="AV72" s="121">
        <f t="shared" ca="1" si="21"/>
        <v>0</v>
      </c>
      <c r="AW72" s="198">
        <f t="shared" ca="1" si="22"/>
        <v>0</v>
      </c>
      <c r="BM72" s="352">
        <f t="shared" si="20"/>
        <v>1</v>
      </c>
      <c r="BN72" s="281">
        <f t="shared" si="20"/>
        <v>1</v>
      </c>
      <c r="BQ72" s="251"/>
      <c r="BR72" s="7"/>
      <c r="BS72" s="7"/>
      <c r="BT72" s="7"/>
      <c r="IU72" s="16"/>
    </row>
    <row r="73" spans="2:255" ht="13.2">
      <c r="B73" s="9">
        <v>54</v>
      </c>
      <c r="C73" s="17"/>
      <c r="D73" s="72"/>
      <c r="E73" s="76"/>
      <c r="F73" s="76"/>
      <c r="G73" s="76" t="str">
        <f ca="1">IF(ISBLANK(D73),IF(AND(ISNUMBER(D72),D72&lt;$AF$5),'NTS ONLY_set_year'!$E$62,"- -"),IF(D73&gt;$AF$5,$AG$5,IF(D73&gt;D72+1,$AG$6,IF(D73&lt;D72,$AG$7,Y73))))</f>
        <v>- -</v>
      </c>
      <c r="H73" s="532"/>
      <c r="I73" s="621"/>
      <c r="J73" s="534"/>
      <c r="K73" s="555"/>
      <c r="L73" s="556"/>
      <c r="M73" s="557" t="str">
        <f t="shared" si="3"/>
        <v/>
      </c>
      <c r="N73" s="558"/>
      <c r="O73" s="559"/>
      <c r="P73" s="560"/>
      <c r="Q73" s="559"/>
      <c r="R73" s="18" t="str">
        <f t="shared" si="12"/>
        <v/>
      </c>
      <c r="S73" s="36"/>
      <c r="T73" s="120" t="str">
        <f ca="1">INDEX('NTS ONLY_set_year'!E:E,MATCH(TEXT($X73,"Ddd"),'NTS ONLY_set_year'!C:C,0))</f>
        <v>Dim</v>
      </c>
      <c r="U73" s="186" t="str">
        <f t="shared" ca="1" si="13"/>
        <v>juin</v>
      </c>
      <c r="X73" s="347">
        <f t="shared" ca="1" si="17"/>
        <v>46173</v>
      </c>
      <c r="Y73" s="452" t="str">
        <f t="shared" ca="1" si="14"/>
        <v>Dim. juin , 2026</v>
      </c>
      <c r="Z73" s="143">
        <f t="shared" ca="1" si="4"/>
        <v>30</v>
      </c>
      <c r="AA73" s="348">
        <f t="shared" ca="1" si="5"/>
        <v>6</v>
      </c>
      <c r="AB73" s="168">
        <f t="shared" ca="1" si="15"/>
        <v>0</v>
      </c>
      <c r="AF73" s="349">
        <f t="shared" ca="1" si="6"/>
        <v>99</v>
      </c>
      <c r="AG73" s="350">
        <f ca="1">MIN(AF73:AF$195)</f>
        <v>99</v>
      </c>
      <c r="AH73" s="121" t="b">
        <f t="shared" si="7"/>
        <v>0</v>
      </c>
      <c r="AJ73" s="191">
        <f t="shared" ca="1" si="8"/>
        <v>0</v>
      </c>
      <c r="AK73" s="168">
        <f>IF(D73&lt;&gt;D72,MAX(L$20:L72),AK72)</f>
        <v>0</v>
      </c>
      <c r="AL73" s="121" t="str">
        <f t="shared" si="18"/>
        <v>- -</v>
      </c>
      <c r="AM73" s="121">
        <f>MIN(K74:K$194)</f>
        <v>0</v>
      </c>
      <c r="AN73" s="352" t="str">
        <f t="shared" si="19"/>
        <v>- -</v>
      </c>
      <c r="AP73" s="352">
        <f t="shared" si="16"/>
        <v>999</v>
      </c>
      <c r="AQ73" s="143">
        <f t="shared" ca="1" si="9"/>
        <v>1</v>
      </c>
      <c r="AR73" s="143">
        <f t="shared" ca="1" si="10"/>
        <v>0</v>
      </c>
      <c r="AU73" s="281" t="str">
        <f>IF($C73=$AB$15,'NTS ONLY_set_year'!$E$143," ")&amp;$D73</f>
        <v xml:space="preserve"> </v>
      </c>
      <c r="AV73" s="121">
        <f t="shared" ca="1" si="21"/>
        <v>0</v>
      </c>
      <c r="AW73" s="198">
        <f t="shared" ca="1" si="22"/>
        <v>0</v>
      </c>
      <c r="BM73" s="352">
        <f t="shared" si="20"/>
        <v>1</v>
      </c>
      <c r="BN73" s="281">
        <f t="shared" si="20"/>
        <v>1</v>
      </c>
      <c r="BQ73" s="251"/>
      <c r="BR73" s="7"/>
      <c r="BS73" s="7"/>
      <c r="BT73" s="7"/>
      <c r="IU73" s="16"/>
    </row>
    <row r="74" spans="2:255" ht="13.2">
      <c r="B74" s="9">
        <v>55</v>
      </c>
      <c r="C74" s="17"/>
      <c r="D74" s="72"/>
      <c r="E74" s="76"/>
      <c r="F74" s="76"/>
      <c r="G74" s="76" t="str">
        <f ca="1">IF(ISBLANK(D74),IF(AND(ISNUMBER(D73),D73&lt;$AF$5),'NTS ONLY_set_year'!$E$62,"- -"),IF(D74&gt;$AF$5,$AG$5,IF(D74&gt;D73+1,$AG$6,IF(D74&lt;D73,$AG$7,Y74))))</f>
        <v>- -</v>
      </c>
      <c r="H74" s="532"/>
      <c r="I74" s="621"/>
      <c r="J74" s="534"/>
      <c r="K74" s="555"/>
      <c r="L74" s="556"/>
      <c r="M74" s="557" t="str">
        <f t="shared" si="3"/>
        <v/>
      </c>
      <c r="N74" s="558"/>
      <c r="O74" s="559"/>
      <c r="P74" s="560"/>
      <c r="Q74" s="559"/>
      <c r="R74" s="18" t="str">
        <f t="shared" si="12"/>
        <v/>
      </c>
      <c r="S74" s="36"/>
      <c r="T74" s="120" t="str">
        <f ca="1">INDEX('NTS ONLY_set_year'!E:E,MATCH(TEXT($X74,"Ddd"),'NTS ONLY_set_year'!C:C,0))</f>
        <v>Dim</v>
      </c>
      <c r="U74" s="186" t="str">
        <f t="shared" ca="1" si="13"/>
        <v>juin</v>
      </c>
      <c r="X74" s="347">
        <f t="shared" ca="1" si="17"/>
        <v>46173</v>
      </c>
      <c r="Y74" s="452" t="str">
        <f t="shared" ca="1" si="14"/>
        <v>Dim. juin , 2026</v>
      </c>
      <c r="Z74" s="143">
        <f t="shared" ca="1" si="4"/>
        <v>30</v>
      </c>
      <c r="AA74" s="348">
        <f t="shared" ca="1" si="5"/>
        <v>6</v>
      </c>
      <c r="AB74" s="168">
        <f t="shared" ca="1" si="15"/>
        <v>0</v>
      </c>
      <c r="AF74" s="349">
        <f t="shared" ca="1" si="6"/>
        <v>99</v>
      </c>
      <c r="AG74" s="350">
        <f ca="1">MIN(AF74:AF$195)</f>
        <v>99</v>
      </c>
      <c r="AH74" s="121" t="b">
        <f t="shared" si="7"/>
        <v>0</v>
      </c>
      <c r="AJ74" s="191">
        <f t="shared" ca="1" si="8"/>
        <v>0</v>
      </c>
      <c r="AK74" s="168">
        <f>IF(D74&lt;&gt;D73,MAX(L$20:L73),AK73)</f>
        <v>0</v>
      </c>
      <c r="AL74" s="121" t="str">
        <f t="shared" si="18"/>
        <v>- -</v>
      </c>
      <c r="AM74" s="121">
        <f>MIN(K75:K$194)</f>
        <v>0</v>
      </c>
      <c r="AN74" s="352" t="str">
        <f t="shared" si="19"/>
        <v>- -</v>
      </c>
      <c r="AP74" s="352">
        <f t="shared" si="16"/>
        <v>999</v>
      </c>
      <c r="AQ74" s="143">
        <f t="shared" ca="1" si="9"/>
        <v>1</v>
      </c>
      <c r="AR74" s="143">
        <f t="shared" ca="1" si="10"/>
        <v>0</v>
      </c>
      <c r="AU74" s="281" t="str">
        <f>IF($C74=$AB$15,'NTS ONLY_set_year'!$E$143," ")&amp;$D74</f>
        <v xml:space="preserve"> </v>
      </c>
      <c r="AV74" s="121">
        <f t="shared" ca="1" si="21"/>
        <v>0</v>
      </c>
      <c r="AW74" s="198">
        <f t="shared" ca="1" si="22"/>
        <v>0</v>
      </c>
      <c r="BM74" s="352">
        <f t="shared" si="20"/>
        <v>1</v>
      </c>
      <c r="BN74" s="281">
        <f t="shared" si="20"/>
        <v>1</v>
      </c>
      <c r="BQ74" s="251"/>
      <c r="BR74" s="7"/>
      <c r="BS74" s="7"/>
      <c r="BT74" s="7"/>
      <c r="IU74" s="16"/>
    </row>
    <row r="75" spans="2:255" ht="13.2">
      <c r="B75" s="9">
        <v>56</v>
      </c>
      <c r="C75" s="17"/>
      <c r="D75" s="72"/>
      <c r="E75" s="76"/>
      <c r="F75" s="76"/>
      <c r="G75" s="76" t="str">
        <f ca="1">IF(ISBLANK(D75),IF(AND(ISNUMBER(D74),D74&lt;$AF$5),'NTS ONLY_set_year'!$E$62,"- -"),IF(D75&gt;$AF$5,$AG$5,IF(D75&gt;D74+1,$AG$6,IF(D75&lt;D74,$AG$7,Y75))))</f>
        <v>- -</v>
      </c>
      <c r="H75" s="532"/>
      <c r="I75" s="621"/>
      <c r="J75" s="534"/>
      <c r="K75" s="555"/>
      <c r="L75" s="556"/>
      <c r="M75" s="557" t="str">
        <f t="shared" si="3"/>
        <v/>
      </c>
      <c r="N75" s="558"/>
      <c r="O75" s="559"/>
      <c r="P75" s="560"/>
      <c r="Q75" s="559"/>
      <c r="R75" s="18" t="str">
        <f t="shared" si="12"/>
        <v/>
      </c>
      <c r="S75" s="36"/>
      <c r="T75" s="120" t="str">
        <f ca="1">INDEX('NTS ONLY_set_year'!E:E,MATCH(TEXT($X75,"Ddd"),'NTS ONLY_set_year'!C:C,0))</f>
        <v>Dim</v>
      </c>
      <c r="U75" s="186" t="str">
        <f t="shared" ca="1" si="13"/>
        <v>juin</v>
      </c>
      <c r="X75" s="347">
        <f t="shared" ca="1" si="17"/>
        <v>46173</v>
      </c>
      <c r="Y75" s="452" t="str">
        <f t="shared" ca="1" si="14"/>
        <v>Dim. juin , 2026</v>
      </c>
      <c r="Z75" s="143">
        <f t="shared" ca="1" si="4"/>
        <v>30</v>
      </c>
      <c r="AA75" s="348">
        <f t="shared" ca="1" si="5"/>
        <v>6</v>
      </c>
      <c r="AB75" s="168">
        <f t="shared" ca="1" si="15"/>
        <v>0</v>
      </c>
      <c r="AF75" s="349">
        <f t="shared" ca="1" si="6"/>
        <v>99</v>
      </c>
      <c r="AG75" s="350">
        <f ca="1">MIN(AF75:AF$195)</f>
        <v>99</v>
      </c>
      <c r="AH75" s="121" t="b">
        <f t="shared" si="7"/>
        <v>0</v>
      </c>
      <c r="AJ75" s="191">
        <f t="shared" ca="1" si="8"/>
        <v>0</v>
      </c>
      <c r="AK75" s="168">
        <f>IF(D75&lt;&gt;D74,MAX(L$20:L74),AK74)</f>
        <v>0</v>
      </c>
      <c r="AL75" s="121" t="str">
        <f t="shared" si="18"/>
        <v>- -</v>
      </c>
      <c r="AM75" s="121">
        <f>MIN(K76:K$194)</f>
        <v>0</v>
      </c>
      <c r="AN75" s="352" t="str">
        <f t="shared" si="19"/>
        <v>- -</v>
      </c>
      <c r="AP75" s="352">
        <f t="shared" si="16"/>
        <v>999</v>
      </c>
      <c r="AQ75" s="143">
        <f t="shared" ca="1" si="9"/>
        <v>1</v>
      </c>
      <c r="AR75" s="143">
        <f t="shared" ca="1" si="10"/>
        <v>0</v>
      </c>
      <c r="AU75" s="281" t="str">
        <f>IF($C75=$AB$15,'NTS ONLY_set_year'!$E$143," ")&amp;$D75</f>
        <v xml:space="preserve"> </v>
      </c>
      <c r="AV75" s="121">
        <f t="shared" ca="1" si="21"/>
        <v>0</v>
      </c>
      <c r="AW75" s="198">
        <f t="shared" ca="1" si="22"/>
        <v>0</v>
      </c>
      <c r="BM75" s="352">
        <f t="shared" si="20"/>
        <v>1</v>
      </c>
      <c r="BN75" s="281">
        <f t="shared" si="20"/>
        <v>1</v>
      </c>
      <c r="BQ75" s="251"/>
      <c r="BR75" s="7"/>
      <c r="BS75" s="7"/>
      <c r="BT75" s="7"/>
      <c r="IU75" s="16"/>
    </row>
    <row r="76" spans="2:255" ht="13.2">
      <c r="B76" s="9">
        <v>57</v>
      </c>
      <c r="C76" s="17"/>
      <c r="D76" s="72"/>
      <c r="E76" s="76"/>
      <c r="F76" s="76"/>
      <c r="G76" s="76" t="str">
        <f ca="1">IF(ISBLANK(D76),IF(AND(ISNUMBER(D75),D75&lt;$AF$5),'NTS ONLY_set_year'!$E$62,"- -"),IF(D76&gt;$AF$5,$AG$5,IF(D76&gt;D75+1,$AG$6,IF(D76&lt;D75,$AG$7,Y76))))</f>
        <v>- -</v>
      </c>
      <c r="H76" s="532"/>
      <c r="I76" s="621"/>
      <c r="J76" s="534"/>
      <c r="K76" s="555"/>
      <c r="L76" s="556"/>
      <c r="M76" s="557" t="str">
        <f t="shared" si="3"/>
        <v/>
      </c>
      <c r="N76" s="558"/>
      <c r="O76" s="559"/>
      <c r="P76" s="560"/>
      <c r="Q76" s="559"/>
      <c r="R76" s="18" t="str">
        <f t="shared" si="12"/>
        <v/>
      </c>
      <c r="S76" s="36"/>
      <c r="T76" s="120" t="str">
        <f ca="1">INDEX('NTS ONLY_set_year'!E:E,MATCH(TEXT($X76,"Ddd"),'NTS ONLY_set_year'!C:C,0))</f>
        <v>Dim</v>
      </c>
      <c r="U76" s="186" t="str">
        <f t="shared" ca="1" si="13"/>
        <v>juin</v>
      </c>
      <c r="X76" s="347">
        <f t="shared" ca="1" si="17"/>
        <v>46173</v>
      </c>
      <c r="Y76" s="452" t="str">
        <f t="shared" ca="1" si="14"/>
        <v>Dim. juin , 2026</v>
      </c>
      <c r="Z76" s="143">
        <f t="shared" ca="1" si="4"/>
        <v>30</v>
      </c>
      <c r="AA76" s="348">
        <f t="shared" ca="1" si="5"/>
        <v>6</v>
      </c>
      <c r="AB76" s="168">
        <f t="shared" ca="1" si="15"/>
        <v>0</v>
      </c>
      <c r="AF76" s="349">
        <f t="shared" ca="1" si="6"/>
        <v>99</v>
      </c>
      <c r="AG76" s="350">
        <f ca="1">MIN(AF76:AF$195)</f>
        <v>99</v>
      </c>
      <c r="AH76" s="121" t="b">
        <f t="shared" si="7"/>
        <v>0</v>
      </c>
      <c r="AJ76" s="191">
        <f t="shared" ca="1" si="8"/>
        <v>0</v>
      </c>
      <c r="AK76" s="168">
        <f>IF(D76&lt;&gt;D75,MAX(L$20:L75),AK75)</f>
        <v>0</v>
      </c>
      <c r="AL76" s="121" t="str">
        <f t="shared" si="18"/>
        <v>- -</v>
      </c>
      <c r="AM76" s="121">
        <f>MIN(K77:K$194)</f>
        <v>0</v>
      </c>
      <c r="AN76" s="352" t="str">
        <f t="shared" si="19"/>
        <v>- -</v>
      </c>
      <c r="AP76" s="352">
        <f t="shared" si="16"/>
        <v>999</v>
      </c>
      <c r="AQ76" s="143">
        <f t="shared" ca="1" si="9"/>
        <v>1</v>
      </c>
      <c r="AR76" s="143">
        <f t="shared" ca="1" si="10"/>
        <v>0</v>
      </c>
      <c r="AU76" s="281" t="str">
        <f>IF($C76=$AB$15,'NTS ONLY_set_year'!$E$143," ")&amp;$D76</f>
        <v xml:space="preserve"> </v>
      </c>
      <c r="AV76" s="121">
        <f t="shared" ca="1" si="21"/>
        <v>0</v>
      </c>
      <c r="AW76" s="198">
        <f t="shared" ca="1" si="22"/>
        <v>0</v>
      </c>
      <c r="BM76" s="352">
        <f t="shared" si="20"/>
        <v>1</v>
      </c>
      <c r="BN76" s="281">
        <f t="shared" si="20"/>
        <v>1</v>
      </c>
      <c r="BQ76" s="251"/>
      <c r="BR76" s="7"/>
      <c r="BS76" s="7"/>
      <c r="BT76" s="7"/>
      <c r="IU76" s="16"/>
    </row>
    <row r="77" spans="2:255" ht="13.2">
      <c r="B77" s="9">
        <v>58</v>
      </c>
      <c r="C77" s="17"/>
      <c r="D77" s="72"/>
      <c r="E77" s="76"/>
      <c r="F77" s="76"/>
      <c r="G77" s="76" t="str">
        <f ca="1">IF(ISBLANK(D77),IF(AND(ISNUMBER(D76),D76&lt;$AF$5),'NTS ONLY_set_year'!$E$62,"- -"),IF(D77&gt;$AF$5,$AG$5,IF(D77&gt;D76+1,$AG$6,IF(D77&lt;D76,$AG$7,Y77))))</f>
        <v>- -</v>
      </c>
      <c r="H77" s="532"/>
      <c r="I77" s="621"/>
      <c r="J77" s="534"/>
      <c r="K77" s="555"/>
      <c r="L77" s="556"/>
      <c r="M77" s="557" t="str">
        <f t="shared" si="3"/>
        <v/>
      </c>
      <c r="N77" s="558"/>
      <c r="O77" s="559"/>
      <c r="P77" s="560"/>
      <c r="Q77" s="559"/>
      <c r="R77" s="18" t="str">
        <f t="shared" si="12"/>
        <v/>
      </c>
      <c r="S77" s="36"/>
      <c r="T77" s="120" t="str">
        <f ca="1">INDEX('NTS ONLY_set_year'!E:E,MATCH(TEXT($X77,"Ddd"),'NTS ONLY_set_year'!C:C,0))</f>
        <v>Dim</v>
      </c>
      <c r="U77" s="186" t="str">
        <f t="shared" ca="1" si="13"/>
        <v>juin</v>
      </c>
      <c r="X77" s="347">
        <f t="shared" ca="1" si="17"/>
        <v>46173</v>
      </c>
      <c r="Y77" s="452" t="str">
        <f t="shared" ca="1" si="14"/>
        <v>Dim. juin , 2026</v>
      </c>
      <c r="Z77" s="143">
        <f t="shared" ca="1" si="4"/>
        <v>30</v>
      </c>
      <c r="AA77" s="348">
        <f t="shared" ca="1" si="5"/>
        <v>6</v>
      </c>
      <c r="AB77" s="168">
        <f t="shared" ca="1" si="15"/>
        <v>0</v>
      </c>
      <c r="AF77" s="349">
        <f t="shared" ca="1" si="6"/>
        <v>99</v>
      </c>
      <c r="AG77" s="350">
        <f ca="1">MIN(AF77:AF$195)</f>
        <v>99</v>
      </c>
      <c r="AH77" s="121" t="b">
        <f t="shared" si="7"/>
        <v>0</v>
      </c>
      <c r="AJ77" s="191">
        <f t="shared" ca="1" si="8"/>
        <v>0</v>
      </c>
      <c r="AK77" s="168">
        <f>IF(D77&lt;&gt;D76,MAX(L$20:L76),AK76)</f>
        <v>0</v>
      </c>
      <c r="AL77" s="121" t="str">
        <f t="shared" si="18"/>
        <v>- -</v>
      </c>
      <c r="AM77" s="121">
        <f>MIN(K78:K$194)</f>
        <v>0</v>
      </c>
      <c r="AN77" s="352" t="str">
        <f t="shared" si="19"/>
        <v>- -</v>
      </c>
      <c r="AP77" s="352">
        <f t="shared" si="16"/>
        <v>999</v>
      </c>
      <c r="AQ77" s="143">
        <f t="shared" ca="1" si="9"/>
        <v>1</v>
      </c>
      <c r="AR77" s="143">
        <f t="shared" ca="1" si="10"/>
        <v>0</v>
      </c>
      <c r="AU77" s="281" t="str">
        <f>IF($C77=$AB$15,'NTS ONLY_set_year'!$E$143," ")&amp;$D77</f>
        <v xml:space="preserve"> </v>
      </c>
      <c r="AV77" s="121">
        <f t="shared" ca="1" si="21"/>
        <v>0</v>
      </c>
      <c r="AW77" s="198">
        <f t="shared" ca="1" si="22"/>
        <v>0</v>
      </c>
      <c r="BM77" s="352">
        <f t="shared" si="20"/>
        <v>1</v>
      </c>
      <c r="BN77" s="281">
        <f t="shared" si="20"/>
        <v>1</v>
      </c>
      <c r="BQ77" s="251"/>
      <c r="BR77" s="7"/>
      <c r="BS77" s="7"/>
      <c r="BT77" s="7"/>
      <c r="IU77" s="16"/>
    </row>
    <row r="78" spans="2:255" ht="13.2">
      <c r="B78" s="9">
        <v>59</v>
      </c>
      <c r="C78" s="17"/>
      <c r="D78" s="72"/>
      <c r="E78" s="76"/>
      <c r="F78" s="76"/>
      <c r="G78" s="76" t="str">
        <f ca="1">IF(ISBLANK(D78),IF(AND(ISNUMBER(D77),D77&lt;$AF$5),'NTS ONLY_set_year'!$E$62,"- -"),IF(D78&gt;$AF$5,$AG$5,IF(D78&gt;D77+1,$AG$6,IF(D78&lt;D77,$AG$7,Y78))))</f>
        <v>- -</v>
      </c>
      <c r="H78" s="532"/>
      <c r="I78" s="621"/>
      <c r="J78" s="534"/>
      <c r="K78" s="555"/>
      <c r="L78" s="556"/>
      <c r="M78" s="557" t="str">
        <f t="shared" si="3"/>
        <v/>
      </c>
      <c r="N78" s="558"/>
      <c r="O78" s="559"/>
      <c r="P78" s="560"/>
      <c r="Q78" s="559"/>
      <c r="R78" s="18" t="str">
        <f t="shared" si="12"/>
        <v/>
      </c>
      <c r="S78" s="36"/>
      <c r="T78" s="120" t="str">
        <f ca="1">INDEX('NTS ONLY_set_year'!E:E,MATCH(TEXT($X78,"Ddd"),'NTS ONLY_set_year'!C:C,0))</f>
        <v>Dim</v>
      </c>
      <c r="U78" s="186" t="str">
        <f t="shared" ca="1" si="13"/>
        <v>juin</v>
      </c>
      <c r="X78" s="347">
        <f t="shared" ca="1" si="17"/>
        <v>46173</v>
      </c>
      <c r="Y78" s="452" t="str">
        <f t="shared" ca="1" si="14"/>
        <v>Dim. juin , 2026</v>
      </c>
      <c r="Z78" s="143">
        <f t="shared" ca="1" si="4"/>
        <v>30</v>
      </c>
      <c r="AA78" s="348">
        <f t="shared" ca="1" si="5"/>
        <v>6</v>
      </c>
      <c r="AB78" s="168">
        <f t="shared" ca="1" si="15"/>
        <v>0</v>
      </c>
      <c r="AF78" s="349">
        <f t="shared" ca="1" si="6"/>
        <v>99</v>
      </c>
      <c r="AG78" s="350">
        <f ca="1">MIN(AF78:AF$195)</f>
        <v>99</v>
      </c>
      <c r="AH78" s="121" t="b">
        <f t="shared" si="7"/>
        <v>0</v>
      </c>
      <c r="AJ78" s="191">
        <f t="shared" ca="1" si="8"/>
        <v>0</v>
      </c>
      <c r="AK78" s="168">
        <f>IF(D78&lt;&gt;D77,MAX(L$20:L77),AK77)</f>
        <v>0</v>
      </c>
      <c r="AL78" s="121" t="str">
        <f t="shared" si="18"/>
        <v>- -</v>
      </c>
      <c r="AM78" s="121">
        <f>MIN(K79:K$194)</f>
        <v>0</v>
      </c>
      <c r="AN78" s="352" t="str">
        <f t="shared" si="19"/>
        <v>- -</v>
      </c>
      <c r="AP78" s="352">
        <f t="shared" si="16"/>
        <v>999</v>
      </c>
      <c r="AQ78" s="143">
        <f t="shared" ca="1" si="9"/>
        <v>1</v>
      </c>
      <c r="AR78" s="143">
        <f t="shared" ca="1" si="10"/>
        <v>0</v>
      </c>
      <c r="AU78" s="281" t="str">
        <f>IF($C78=$AB$15,'NTS ONLY_set_year'!$E$143," ")&amp;$D78</f>
        <v xml:space="preserve"> </v>
      </c>
      <c r="AV78" s="121">
        <f t="shared" ca="1" si="21"/>
        <v>0</v>
      </c>
      <c r="AW78" s="198">
        <f t="shared" ca="1" si="22"/>
        <v>0</v>
      </c>
      <c r="BM78" s="352">
        <f t="shared" si="20"/>
        <v>1</v>
      </c>
      <c r="BN78" s="281">
        <f t="shared" si="20"/>
        <v>1</v>
      </c>
      <c r="BQ78" s="251"/>
      <c r="BR78" s="7"/>
      <c r="BS78" s="7"/>
      <c r="BT78" s="7"/>
      <c r="IU78" s="16"/>
    </row>
    <row r="79" spans="2:255" ht="13.2">
      <c r="B79" s="9">
        <v>60</v>
      </c>
      <c r="C79" s="17"/>
      <c r="D79" s="72"/>
      <c r="E79" s="76"/>
      <c r="F79" s="76"/>
      <c r="G79" s="76" t="str">
        <f ca="1">IF(ISBLANK(D79),IF(AND(ISNUMBER(D78),D78&lt;$AF$5),'NTS ONLY_set_year'!$E$62,"- -"),IF(D79&gt;$AF$5,$AG$5,IF(D79&gt;D78+1,$AG$6,IF(D79&lt;D78,$AG$7,Y79))))</f>
        <v>- -</v>
      </c>
      <c r="H79" s="532"/>
      <c r="I79" s="621"/>
      <c r="J79" s="534"/>
      <c r="K79" s="555"/>
      <c r="L79" s="556"/>
      <c r="M79" s="557" t="str">
        <f t="shared" si="3"/>
        <v/>
      </c>
      <c r="N79" s="558"/>
      <c r="O79" s="559"/>
      <c r="P79" s="560"/>
      <c r="Q79" s="559"/>
      <c r="R79" s="18" t="str">
        <f t="shared" si="12"/>
        <v/>
      </c>
      <c r="S79" s="36"/>
      <c r="T79" s="120" t="str">
        <f ca="1">INDEX('NTS ONLY_set_year'!E:E,MATCH(TEXT($X79,"Ddd"),'NTS ONLY_set_year'!C:C,0))</f>
        <v>Dim</v>
      </c>
      <c r="U79" s="186" t="str">
        <f t="shared" ca="1" si="13"/>
        <v>juin</v>
      </c>
      <c r="X79" s="347">
        <f t="shared" ca="1" si="17"/>
        <v>46173</v>
      </c>
      <c r="Y79" s="452" t="str">
        <f t="shared" ca="1" si="14"/>
        <v>Dim. juin , 2026</v>
      </c>
      <c r="Z79" s="143">
        <f t="shared" ca="1" si="4"/>
        <v>30</v>
      </c>
      <c r="AA79" s="348">
        <f t="shared" ca="1" si="5"/>
        <v>6</v>
      </c>
      <c r="AB79" s="168">
        <f t="shared" ca="1" si="15"/>
        <v>0</v>
      </c>
      <c r="AF79" s="349">
        <f t="shared" ca="1" si="6"/>
        <v>99</v>
      </c>
      <c r="AG79" s="350">
        <f ca="1">MIN(AF79:AF$195)</f>
        <v>99</v>
      </c>
      <c r="AH79" s="121" t="b">
        <f t="shared" si="7"/>
        <v>0</v>
      </c>
      <c r="AJ79" s="191">
        <f t="shared" ca="1" si="8"/>
        <v>0</v>
      </c>
      <c r="AK79" s="168">
        <f>IF(D79&lt;&gt;D78,MAX(L$20:L78),AK78)</f>
        <v>0</v>
      </c>
      <c r="AL79" s="121" t="str">
        <f t="shared" si="18"/>
        <v>- -</v>
      </c>
      <c r="AM79" s="121">
        <f>MIN(K80:K$194)</f>
        <v>0</v>
      </c>
      <c r="AN79" s="352" t="str">
        <f t="shared" si="19"/>
        <v>- -</v>
      </c>
      <c r="AP79" s="352">
        <f t="shared" si="16"/>
        <v>999</v>
      </c>
      <c r="AQ79" s="143">
        <f t="shared" ca="1" si="9"/>
        <v>1</v>
      </c>
      <c r="AR79" s="143">
        <f t="shared" ca="1" si="10"/>
        <v>0</v>
      </c>
      <c r="AU79" s="281" t="str">
        <f>IF($C79=$AB$15,'NTS ONLY_set_year'!$E$143," ")&amp;$D79</f>
        <v xml:space="preserve"> </v>
      </c>
      <c r="AV79" s="121">
        <f t="shared" ca="1" si="21"/>
        <v>0</v>
      </c>
      <c r="AW79" s="198">
        <f t="shared" ca="1" si="22"/>
        <v>0</v>
      </c>
      <c r="BM79" s="352">
        <f t="shared" si="20"/>
        <v>1</v>
      </c>
      <c r="BN79" s="281">
        <f t="shared" si="20"/>
        <v>1</v>
      </c>
      <c r="BQ79" s="251"/>
      <c r="BR79" s="7"/>
      <c r="BS79" s="7"/>
      <c r="BT79" s="7"/>
      <c r="IU79" s="16"/>
    </row>
    <row r="80" spans="2:255" ht="13.2">
      <c r="B80" s="9">
        <v>61</v>
      </c>
      <c r="C80" s="17"/>
      <c r="D80" s="72"/>
      <c r="E80" s="76"/>
      <c r="F80" s="76"/>
      <c r="G80" s="76" t="str">
        <f ca="1">IF(ISBLANK(D80),IF(AND(ISNUMBER(D79),D79&lt;$AF$5),'NTS ONLY_set_year'!$E$62,"- -"),IF(D80&gt;$AF$5,$AG$5,IF(D80&gt;D79+1,$AG$6,IF(D80&lt;D79,$AG$7,Y80))))</f>
        <v>- -</v>
      </c>
      <c r="H80" s="532"/>
      <c r="I80" s="621"/>
      <c r="J80" s="534"/>
      <c r="K80" s="555"/>
      <c r="L80" s="556"/>
      <c r="M80" s="557" t="str">
        <f t="shared" si="3"/>
        <v/>
      </c>
      <c r="N80" s="558"/>
      <c r="O80" s="559"/>
      <c r="P80" s="560"/>
      <c r="Q80" s="559"/>
      <c r="R80" s="18" t="str">
        <f t="shared" si="12"/>
        <v/>
      </c>
      <c r="S80" s="36"/>
      <c r="T80" s="120" t="str">
        <f ca="1">INDEX('NTS ONLY_set_year'!E:E,MATCH(TEXT($X80,"Ddd"),'NTS ONLY_set_year'!C:C,0))</f>
        <v>Dim</v>
      </c>
      <c r="U80" s="186" t="str">
        <f t="shared" ca="1" si="13"/>
        <v>juin</v>
      </c>
      <c r="X80" s="347">
        <f t="shared" ca="1" si="17"/>
        <v>46173</v>
      </c>
      <c r="Y80" s="452" t="str">
        <f t="shared" ca="1" si="14"/>
        <v>Dim. juin , 2026</v>
      </c>
      <c r="Z80" s="143">
        <f t="shared" ca="1" si="4"/>
        <v>30</v>
      </c>
      <c r="AA80" s="348">
        <f t="shared" ca="1" si="5"/>
        <v>6</v>
      </c>
      <c r="AB80" s="168">
        <f t="shared" ca="1" si="15"/>
        <v>0</v>
      </c>
      <c r="AF80" s="349">
        <f t="shared" ca="1" si="6"/>
        <v>99</v>
      </c>
      <c r="AG80" s="350">
        <f ca="1">MIN(AF80:AF$195)</f>
        <v>99</v>
      </c>
      <c r="AH80" s="121" t="b">
        <f t="shared" si="7"/>
        <v>0</v>
      </c>
      <c r="AJ80" s="191">
        <f t="shared" ca="1" si="8"/>
        <v>0</v>
      </c>
      <c r="AK80" s="168">
        <f>IF(D80&lt;&gt;D79,MAX(L$20:L79),AK79)</f>
        <v>0</v>
      </c>
      <c r="AL80" s="121" t="str">
        <f t="shared" si="18"/>
        <v>- -</v>
      </c>
      <c r="AM80" s="121">
        <f>MIN(K81:K$194)</f>
        <v>0</v>
      </c>
      <c r="AN80" s="352" t="str">
        <f t="shared" si="19"/>
        <v>- -</v>
      </c>
      <c r="AP80" s="352">
        <f t="shared" si="16"/>
        <v>999</v>
      </c>
      <c r="AQ80" s="143">
        <f t="shared" ca="1" si="9"/>
        <v>1</v>
      </c>
      <c r="AR80" s="143">
        <f t="shared" ca="1" si="10"/>
        <v>0</v>
      </c>
      <c r="AU80" s="281" t="str">
        <f>IF($C80=$AB$15,'NTS ONLY_set_year'!$E$143," ")&amp;$D80</f>
        <v xml:space="preserve"> </v>
      </c>
      <c r="AV80" s="121">
        <f t="shared" ca="1" si="21"/>
        <v>0</v>
      </c>
      <c r="AW80" s="198">
        <f t="shared" ca="1" si="22"/>
        <v>0</v>
      </c>
      <c r="BM80" s="352">
        <f t="shared" si="20"/>
        <v>1</v>
      </c>
      <c r="BN80" s="281">
        <f t="shared" si="20"/>
        <v>1</v>
      </c>
      <c r="BQ80" s="251"/>
      <c r="BR80" s="7"/>
      <c r="BS80" s="7"/>
      <c r="BT80" s="7"/>
      <c r="IU80" s="16"/>
    </row>
    <row r="81" spans="2:255" ht="13.2">
      <c r="B81" s="9">
        <v>62</v>
      </c>
      <c r="C81" s="17"/>
      <c r="D81" s="72"/>
      <c r="E81" s="76"/>
      <c r="F81" s="76"/>
      <c r="G81" s="76" t="str">
        <f ca="1">IF(ISBLANK(D81),IF(AND(ISNUMBER(D80),D80&lt;$AF$5),'NTS ONLY_set_year'!$E$62,"- -"),IF(D81&gt;$AF$5,$AG$5,IF(D81&gt;D80+1,$AG$6,IF(D81&lt;D80,$AG$7,Y81))))</f>
        <v>- -</v>
      </c>
      <c r="H81" s="532"/>
      <c r="I81" s="621"/>
      <c r="J81" s="534"/>
      <c r="K81" s="555"/>
      <c r="L81" s="556"/>
      <c r="M81" s="557" t="str">
        <f t="shared" si="3"/>
        <v/>
      </c>
      <c r="N81" s="558"/>
      <c r="O81" s="559"/>
      <c r="P81" s="560"/>
      <c r="Q81" s="559"/>
      <c r="R81" s="18" t="str">
        <f t="shared" si="12"/>
        <v/>
      </c>
      <c r="S81" s="36"/>
      <c r="T81" s="120" t="str">
        <f ca="1">INDEX('NTS ONLY_set_year'!E:E,MATCH(TEXT($X81,"Ddd"),'NTS ONLY_set_year'!C:C,0))</f>
        <v>Dim</v>
      </c>
      <c r="U81" s="186" t="str">
        <f t="shared" ca="1" si="13"/>
        <v>juin</v>
      </c>
      <c r="X81" s="347">
        <f t="shared" ca="1" si="17"/>
        <v>46173</v>
      </c>
      <c r="Y81" s="452" t="str">
        <f t="shared" ca="1" si="14"/>
        <v>Dim. juin , 2026</v>
      </c>
      <c r="Z81" s="143">
        <f t="shared" ca="1" si="4"/>
        <v>30</v>
      </c>
      <c r="AA81" s="348">
        <f t="shared" ca="1" si="5"/>
        <v>6</v>
      </c>
      <c r="AB81" s="168">
        <f t="shared" ca="1" si="15"/>
        <v>0</v>
      </c>
      <c r="AF81" s="349">
        <f t="shared" ca="1" si="6"/>
        <v>99</v>
      </c>
      <c r="AG81" s="350">
        <f ca="1">MIN(AF81:AF$195)</f>
        <v>99</v>
      </c>
      <c r="AH81" s="121" t="b">
        <f t="shared" si="7"/>
        <v>0</v>
      </c>
      <c r="AJ81" s="191">
        <f t="shared" ca="1" si="8"/>
        <v>0</v>
      </c>
      <c r="AK81" s="168">
        <f>IF(D81&lt;&gt;D80,MAX(L$20:L80),AK80)</f>
        <v>0</v>
      </c>
      <c r="AL81" s="121" t="str">
        <f t="shared" si="18"/>
        <v>- -</v>
      </c>
      <c r="AM81" s="121">
        <f>MIN(K82:K$194)</f>
        <v>0</v>
      </c>
      <c r="AN81" s="352" t="str">
        <f t="shared" si="19"/>
        <v>- -</v>
      </c>
      <c r="AP81" s="352">
        <f t="shared" si="16"/>
        <v>999</v>
      </c>
      <c r="AQ81" s="143">
        <f t="shared" ca="1" si="9"/>
        <v>1</v>
      </c>
      <c r="AR81" s="143">
        <f t="shared" ca="1" si="10"/>
        <v>0</v>
      </c>
      <c r="AU81" s="281" t="str">
        <f>IF($C81=$AB$15,'NTS ONLY_set_year'!$E$143," ")&amp;$D81</f>
        <v xml:space="preserve"> </v>
      </c>
      <c r="AV81" s="121">
        <f t="shared" ca="1" si="21"/>
        <v>0</v>
      </c>
      <c r="AW81" s="198">
        <f t="shared" ca="1" si="22"/>
        <v>0</v>
      </c>
      <c r="BM81" s="352">
        <f t="shared" si="20"/>
        <v>1</v>
      </c>
      <c r="BN81" s="281">
        <f t="shared" si="20"/>
        <v>1</v>
      </c>
      <c r="BQ81" s="251"/>
      <c r="BR81" s="7"/>
      <c r="BS81" s="7"/>
      <c r="BT81" s="7"/>
      <c r="IU81" s="16"/>
    </row>
    <row r="82" spans="2:255" ht="13.2">
      <c r="B82" s="9">
        <v>63</v>
      </c>
      <c r="C82" s="17"/>
      <c r="D82" s="72"/>
      <c r="E82" s="76"/>
      <c r="F82" s="76"/>
      <c r="G82" s="76" t="str">
        <f ca="1">IF(ISBLANK(D82),IF(AND(ISNUMBER(D81),D81&lt;$AF$5),'NTS ONLY_set_year'!$E$62,"- -"),IF(D82&gt;$AF$5,$AG$5,IF(D82&gt;D81+1,$AG$6,IF(D82&lt;D81,$AG$7,Y82))))</f>
        <v>- -</v>
      </c>
      <c r="H82" s="532"/>
      <c r="I82" s="621"/>
      <c r="J82" s="534"/>
      <c r="K82" s="555"/>
      <c r="L82" s="556"/>
      <c r="M82" s="557" t="str">
        <f t="shared" si="3"/>
        <v/>
      </c>
      <c r="N82" s="558"/>
      <c r="O82" s="559"/>
      <c r="P82" s="560"/>
      <c r="Q82" s="559"/>
      <c r="R82" s="18" t="str">
        <f t="shared" si="12"/>
        <v/>
      </c>
      <c r="S82" s="36"/>
      <c r="T82" s="120" t="str">
        <f ca="1">INDEX('NTS ONLY_set_year'!E:E,MATCH(TEXT($X82,"Ddd"),'NTS ONLY_set_year'!C:C,0))</f>
        <v>Dim</v>
      </c>
      <c r="U82" s="186" t="str">
        <f t="shared" ca="1" si="13"/>
        <v>juin</v>
      </c>
      <c r="X82" s="347">
        <f t="shared" ca="1" si="17"/>
        <v>46173</v>
      </c>
      <c r="Y82" s="452" t="str">
        <f t="shared" ca="1" si="14"/>
        <v>Dim. juin , 2026</v>
      </c>
      <c r="Z82" s="143">
        <f t="shared" ca="1" si="4"/>
        <v>30</v>
      </c>
      <c r="AA82" s="348">
        <f t="shared" ca="1" si="5"/>
        <v>6</v>
      </c>
      <c r="AB82" s="168">
        <f t="shared" ca="1" si="15"/>
        <v>0</v>
      </c>
      <c r="AF82" s="349">
        <f t="shared" ca="1" si="6"/>
        <v>99</v>
      </c>
      <c r="AG82" s="350">
        <f ca="1">MIN(AF82:AF$195)</f>
        <v>99</v>
      </c>
      <c r="AH82" s="121" t="b">
        <f t="shared" si="7"/>
        <v>0</v>
      </c>
      <c r="AJ82" s="191">
        <f t="shared" ca="1" si="8"/>
        <v>0</v>
      </c>
      <c r="AK82" s="168">
        <f>IF(D82&lt;&gt;D81,MAX(L$20:L81),AK81)</f>
        <v>0</v>
      </c>
      <c r="AL82" s="121" t="str">
        <f t="shared" si="18"/>
        <v>- -</v>
      </c>
      <c r="AM82" s="121">
        <f>MIN(K83:K$194)</f>
        <v>0</v>
      </c>
      <c r="AN82" s="352" t="str">
        <f t="shared" si="19"/>
        <v>- -</v>
      </c>
      <c r="AP82" s="352">
        <f t="shared" si="16"/>
        <v>999</v>
      </c>
      <c r="AQ82" s="143">
        <f t="shared" ca="1" si="9"/>
        <v>1</v>
      </c>
      <c r="AR82" s="143">
        <f t="shared" ca="1" si="10"/>
        <v>0</v>
      </c>
      <c r="AU82" s="281" t="str">
        <f>IF($C82=$AB$15,'NTS ONLY_set_year'!$E$143," ")&amp;$D82</f>
        <v xml:space="preserve"> </v>
      </c>
      <c r="AV82" s="121">
        <f t="shared" ca="1" si="21"/>
        <v>0</v>
      </c>
      <c r="AW82" s="198">
        <f t="shared" ca="1" si="22"/>
        <v>0</v>
      </c>
      <c r="BM82" s="352">
        <f t="shared" si="20"/>
        <v>1</v>
      </c>
      <c r="BN82" s="281">
        <f t="shared" si="20"/>
        <v>1</v>
      </c>
      <c r="BQ82" s="251"/>
      <c r="BR82" s="7"/>
      <c r="BS82" s="7"/>
      <c r="BT82" s="7"/>
      <c r="IU82" s="16"/>
    </row>
    <row r="83" spans="2:255" ht="13.2">
      <c r="B83" s="9">
        <v>64</v>
      </c>
      <c r="C83" s="17"/>
      <c r="D83" s="72"/>
      <c r="E83" s="76"/>
      <c r="F83" s="76"/>
      <c r="G83" s="76" t="str">
        <f ca="1">IF(ISBLANK(D83),IF(AND(ISNUMBER(D82),D82&lt;$AF$5),'NTS ONLY_set_year'!$E$62,"- -"),IF(D83&gt;$AF$5,$AG$5,IF(D83&gt;D82+1,$AG$6,IF(D83&lt;D82,$AG$7,Y83))))</f>
        <v>- -</v>
      </c>
      <c r="H83" s="532"/>
      <c r="I83" s="621"/>
      <c r="J83" s="534"/>
      <c r="K83" s="555"/>
      <c r="L83" s="556"/>
      <c r="M83" s="557" t="str">
        <f t="shared" si="3"/>
        <v/>
      </c>
      <c r="N83" s="558"/>
      <c r="O83" s="559"/>
      <c r="P83" s="560"/>
      <c r="Q83" s="559"/>
      <c r="R83" s="18" t="str">
        <f t="shared" si="12"/>
        <v/>
      </c>
      <c r="S83" s="36"/>
      <c r="T83" s="120" t="str">
        <f ca="1">INDEX('NTS ONLY_set_year'!E:E,MATCH(TEXT($X83,"Ddd"),'NTS ONLY_set_year'!C:C,0))</f>
        <v>Dim</v>
      </c>
      <c r="U83" s="186" t="str">
        <f t="shared" ca="1" si="13"/>
        <v>juin</v>
      </c>
      <c r="X83" s="347">
        <f t="shared" ca="1" si="17"/>
        <v>46173</v>
      </c>
      <c r="Y83" s="452" t="str">
        <f t="shared" ca="1" si="14"/>
        <v>Dim. juin , 2026</v>
      </c>
      <c r="Z83" s="143">
        <f t="shared" ca="1" si="4"/>
        <v>30</v>
      </c>
      <c r="AA83" s="348">
        <f t="shared" ca="1" si="5"/>
        <v>6</v>
      </c>
      <c r="AB83" s="168">
        <f t="shared" ca="1" si="15"/>
        <v>0</v>
      </c>
      <c r="AF83" s="349">
        <f t="shared" ca="1" si="6"/>
        <v>99</v>
      </c>
      <c r="AG83" s="350">
        <f ca="1">MIN(AF83:AF$195)</f>
        <v>99</v>
      </c>
      <c r="AH83" s="121" t="b">
        <f t="shared" si="7"/>
        <v>0</v>
      </c>
      <c r="AJ83" s="191">
        <f t="shared" ca="1" si="8"/>
        <v>0</v>
      </c>
      <c r="AK83" s="168">
        <f>IF(D83&lt;&gt;D82,MAX(L$20:L82),AK82)</f>
        <v>0</v>
      </c>
      <c r="AL83" s="121" t="str">
        <f t="shared" si="18"/>
        <v>- -</v>
      </c>
      <c r="AM83" s="121">
        <f>MIN(K84:K$194)</f>
        <v>0</v>
      </c>
      <c r="AN83" s="352" t="str">
        <f t="shared" si="19"/>
        <v>- -</v>
      </c>
      <c r="AP83" s="352">
        <f t="shared" si="16"/>
        <v>999</v>
      </c>
      <c r="AQ83" s="143">
        <f t="shared" ca="1" si="9"/>
        <v>1</v>
      </c>
      <c r="AR83" s="143">
        <f t="shared" ca="1" si="10"/>
        <v>0</v>
      </c>
      <c r="AU83" s="281" t="str">
        <f>IF($C83=$AB$15,'NTS ONLY_set_year'!$E$143," ")&amp;$D83</f>
        <v xml:space="preserve"> </v>
      </c>
      <c r="AV83" s="121">
        <f t="shared" ca="1" si="21"/>
        <v>0</v>
      </c>
      <c r="AW83" s="198">
        <f t="shared" ca="1" si="22"/>
        <v>0</v>
      </c>
      <c r="BM83" s="352">
        <f t="shared" si="20"/>
        <v>1</v>
      </c>
      <c r="BN83" s="281">
        <f t="shared" si="20"/>
        <v>1</v>
      </c>
      <c r="BQ83" s="251"/>
      <c r="BR83" s="7"/>
      <c r="BS83" s="7"/>
      <c r="BT83" s="7"/>
      <c r="IU83" s="16"/>
    </row>
    <row r="84" spans="2:255" ht="13.2">
      <c r="B84" s="9">
        <v>65</v>
      </c>
      <c r="C84" s="17"/>
      <c r="D84" s="72"/>
      <c r="E84" s="76"/>
      <c r="F84" s="76"/>
      <c r="G84" s="76" t="str">
        <f ca="1">IF(ISBLANK(D84),IF(AND(ISNUMBER(D83),D83&lt;$AF$5),'NTS ONLY_set_year'!$E$62,"- -"),IF(D84&gt;$AF$5,$AG$5,IF(D84&gt;D83+1,$AG$6,IF(D84&lt;D83,$AG$7,Y84))))</f>
        <v>- -</v>
      </c>
      <c r="H84" s="532"/>
      <c r="I84" s="621"/>
      <c r="J84" s="534"/>
      <c r="K84" s="555"/>
      <c r="L84" s="556"/>
      <c r="M84" s="557" t="str">
        <f t="shared" ref="M84:M147" si="23">IF(AND(ISNUMBER(K84),ISNUMBER(L84)),L84-K84,"")</f>
        <v/>
      </c>
      <c r="N84" s="558"/>
      <c r="O84" s="559"/>
      <c r="P84" s="560"/>
      <c r="Q84" s="559"/>
      <c r="R84" s="18" t="str">
        <f t="shared" si="12"/>
        <v/>
      </c>
      <c r="S84" s="36"/>
      <c r="T84" s="120" t="str">
        <f ca="1">INDEX('NTS ONLY_set_year'!E:E,MATCH(TEXT($X84,"Ddd"),'NTS ONLY_set_year'!C:C,0))</f>
        <v>Dim</v>
      </c>
      <c r="U84" s="186" t="str">
        <f t="shared" ca="1" si="13"/>
        <v>juin</v>
      </c>
      <c r="X84" s="347">
        <f t="shared" ca="1" si="17"/>
        <v>46173</v>
      </c>
      <c r="Y84" s="452" t="str">
        <f t="shared" ca="1" si="14"/>
        <v>Dim. juin , 2026</v>
      </c>
      <c r="Z84" s="143">
        <f t="shared" ref="Z84:Z147" ca="1" si="24">MIN(R84,$AF$5)</f>
        <v>30</v>
      </c>
      <c r="AA84" s="348">
        <f t="shared" ref="AA84:AA147" ca="1" si="25">$AD$6</f>
        <v>6</v>
      </c>
      <c r="AB84" s="168">
        <f t="shared" ca="1" si="15"/>
        <v>0</v>
      </c>
      <c r="AF84" s="349">
        <f t="shared" ref="AF84:AF147" ca="1" si="26">IF(AND(ISNUMBER(D84),D84&lt;=$Z$16),1,99)</f>
        <v>99</v>
      </c>
      <c r="AG84" s="350">
        <f ca="1">MIN(AF84:AF$195)</f>
        <v>99</v>
      </c>
      <c r="AH84" s="121" t="b">
        <f t="shared" ref="AH84:AH147" si="27">IF(AND(ISNUMBER(M84),M84&gt;0),$AH$8&amp;D84)</f>
        <v>0</v>
      </c>
      <c r="AJ84" s="191">
        <f t="shared" ref="AJ84:AJ147" ca="1" si="28">IF(AND(ISNUMBER(D84),D84&lt;=$AF$5,OR(D84&gt;D83+1,D84&lt;D83)),1,0)</f>
        <v>0</v>
      </c>
      <c r="AK84" s="168">
        <f>IF(D84&lt;&gt;D83,MAX(L$20:L83),AK83)</f>
        <v>0</v>
      </c>
      <c r="AL84" s="121" t="str">
        <f t="shared" si="18"/>
        <v>- -</v>
      </c>
      <c r="AM84" s="121">
        <f>MIN(K85:K$194)</f>
        <v>0</v>
      </c>
      <c r="AN84" s="352" t="str">
        <f t="shared" si="19"/>
        <v>- -</v>
      </c>
      <c r="AP84" s="352">
        <f t="shared" si="16"/>
        <v>999</v>
      </c>
      <c r="AQ84" s="143">
        <f t="shared" ref="AQ84:AQ147" ca="1" si="29">IF(ISNUMBER(Z83),IF(Z84&lt;&gt;Z83,Z83,AQ83),0)</f>
        <v>1</v>
      </c>
      <c r="AR84" s="143">
        <f t="shared" ref="AR84:AR147" ca="1" si="30">IF(Z84&lt;&gt;Z85,Z85,AR85)</f>
        <v>0</v>
      </c>
      <c r="AU84" s="281" t="str">
        <f>IF($C84=$AB$15,'NTS ONLY_set_year'!$E$143," ")&amp;$D84</f>
        <v xml:space="preserve"> </v>
      </c>
      <c r="AV84" s="121">
        <f t="shared" ca="1" si="21"/>
        <v>0</v>
      </c>
      <c r="AW84" s="198">
        <f t="shared" ca="1" si="22"/>
        <v>0</v>
      </c>
      <c r="BM84" s="352">
        <f t="shared" si="20"/>
        <v>1</v>
      </c>
      <c r="BN84" s="281">
        <f t="shared" si="20"/>
        <v>1</v>
      </c>
      <c r="BQ84" s="251"/>
      <c r="BR84" s="7"/>
      <c r="BS84" s="7"/>
      <c r="BT84" s="7"/>
      <c r="IU84" s="16"/>
    </row>
    <row r="85" spans="2:255" ht="13.2">
      <c r="B85" s="9">
        <v>66</v>
      </c>
      <c r="C85" s="17"/>
      <c r="D85" s="72"/>
      <c r="E85" s="76"/>
      <c r="F85" s="76"/>
      <c r="G85" s="76" t="str">
        <f ca="1">IF(ISBLANK(D85),IF(AND(ISNUMBER(D84),D84&lt;$AF$5),'NTS ONLY_set_year'!$E$62,"- -"),IF(D85&gt;$AF$5,$AG$5,IF(D85&gt;D84+1,$AG$6,IF(D85&lt;D84,$AG$7,Y85))))</f>
        <v>- -</v>
      </c>
      <c r="H85" s="532"/>
      <c r="I85" s="621"/>
      <c r="J85" s="534"/>
      <c r="K85" s="555"/>
      <c r="L85" s="556"/>
      <c r="M85" s="557" t="str">
        <f t="shared" si="23"/>
        <v/>
      </c>
      <c r="N85" s="558"/>
      <c r="O85" s="559"/>
      <c r="P85" s="560"/>
      <c r="Q85" s="559"/>
      <c r="R85" s="18" t="str">
        <f t="shared" ref="R85:R148" si="31">IF(ISBLANK(D85),"",D85)</f>
        <v/>
      </c>
      <c r="S85" s="36"/>
      <c r="T85" s="120" t="str">
        <f ca="1">INDEX('NTS ONLY_set_year'!E:E,MATCH(TEXT($X85,"Ddd"),'NTS ONLY_set_year'!C:C,0))</f>
        <v>Dim</v>
      </c>
      <c r="U85" s="186" t="str">
        <f t="shared" ref="U85:U148" ca="1" si="32">$U$19</f>
        <v>juin</v>
      </c>
      <c r="X85" s="347">
        <f t="shared" ca="1" si="17"/>
        <v>46173</v>
      </c>
      <c r="Y85" s="452" t="str">
        <f t="shared" ref="Y85:Y148" ca="1" si="33">IF(Y79="f",T85&amp;". "&amp;" "&amp;R85&amp;" "&amp;U85&amp;" "&amp;$AE$7,T85&amp;". "&amp;U85&amp;" "&amp;R85&amp;", "&amp;$AE$7)</f>
        <v>Dim. juin , 2026</v>
      </c>
      <c r="Z85" s="143">
        <f t="shared" ca="1" si="24"/>
        <v>30</v>
      </c>
      <c r="AA85" s="348">
        <f t="shared" ca="1" si="25"/>
        <v>6</v>
      </c>
      <c r="AB85" s="168">
        <f t="shared" ref="AB85:AB148" ca="1" si="34">MAX(0,M85)*AW85</f>
        <v>0</v>
      </c>
      <c r="AF85" s="349">
        <f t="shared" ca="1" si="26"/>
        <v>99</v>
      </c>
      <c r="AG85" s="350">
        <f ca="1">MIN(AF85:AF$195)</f>
        <v>99</v>
      </c>
      <c r="AH85" s="121" t="b">
        <f t="shared" si="27"/>
        <v>0</v>
      </c>
      <c r="AJ85" s="191">
        <f t="shared" ca="1" si="28"/>
        <v>0</v>
      </c>
      <c r="AK85" s="168">
        <f>IF(D85&lt;&gt;D84,MAX(L$20:L84),AK84)</f>
        <v>0</v>
      </c>
      <c r="AL85" s="121" t="str">
        <f t="shared" si="18"/>
        <v>- -</v>
      </c>
      <c r="AM85" s="121">
        <f>MIN(K86:K$194)</f>
        <v>0</v>
      </c>
      <c r="AN85" s="352" t="str">
        <f t="shared" si="19"/>
        <v>- -</v>
      </c>
      <c r="AP85" s="352">
        <f t="shared" ref="AP85:AP148" si="35">IF(AND(AM85&gt;0,LEN(AL85&amp;AN85)&gt;6),Z85,999)</f>
        <v>999</v>
      </c>
      <c r="AQ85" s="143">
        <f t="shared" ca="1" si="29"/>
        <v>1</v>
      </c>
      <c r="AR85" s="143">
        <f t="shared" ca="1" si="30"/>
        <v>0</v>
      </c>
      <c r="AU85" s="281" t="str">
        <f>IF($C85=$AB$15,'NTS ONLY_set_year'!$E$143," ")&amp;$D85</f>
        <v xml:space="preserve"> </v>
      </c>
      <c r="AV85" s="121">
        <f t="shared" ca="1" si="21"/>
        <v>0</v>
      </c>
      <c r="AW85" s="198">
        <f t="shared" ca="1" si="22"/>
        <v>0</v>
      </c>
      <c r="BM85" s="352">
        <f t="shared" si="20"/>
        <v>1</v>
      </c>
      <c r="BN85" s="281">
        <f t="shared" si="20"/>
        <v>1</v>
      </c>
      <c r="BQ85" s="251"/>
      <c r="BR85" s="7"/>
      <c r="BS85" s="7"/>
      <c r="BT85" s="7"/>
      <c r="IU85" s="16"/>
    </row>
    <row r="86" spans="2:255" ht="13.2">
      <c r="B86" s="9">
        <v>67</v>
      </c>
      <c r="C86" s="17"/>
      <c r="D86" s="72"/>
      <c r="E86" s="76"/>
      <c r="F86" s="76"/>
      <c r="G86" s="76" t="str">
        <f ca="1">IF(ISBLANK(D86),IF(AND(ISNUMBER(D85),D85&lt;$AF$5),'NTS ONLY_set_year'!$E$62,"- -"),IF(D86&gt;$AF$5,$AG$5,IF(D86&gt;D85+1,$AG$6,IF(D86&lt;D85,$AG$7,Y86))))</f>
        <v>- -</v>
      </c>
      <c r="H86" s="532"/>
      <c r="I86" s="621"/>
      <c r="J86" s="534"/>
      <c r="K86" s="555"/>
      <c r="L86" s="556"/>
      <c r="M86" s="557" t="str">
        <f t="shared" si="23"/>
        <v/>
      </c>
      <c r="N86" s="558"/>
      <c r="O86" s="559"/>
      <c r="P86" s="560"/>
      <c r="Q86" s="559"/>
      <c r="R86" s="18" t="str">
        <f t="shared" si="31"/>
        <v/>
      </c>
      <c r="S86" s="36"/>
      <c r="T86" s="120" t="str">
        <f ca="1">INDEX('NTS ONLY_set_year'!E:E,MATCH(TEXT($X86,"Ddd"),'NTS ONLY_set_year'!C:C,0))</f>
        <v>Dim</v>
      </c>
      <c r="U86" s="186" t="str">
        <f t="shared" ca="1" si="32"/>
        <v>juin</v>
      </c>
      <c r="X86" s="347">
        <f t="shared" ref="X86:X149" ca="1" si="36">$AE$8+D86</f>
        <v>46173</v>
      </c>
      <c r="Y86" s="452" t="str">
        <f t="shared" ca="1" si="33"/>
        <v>Dim. juin , 2026</v>
      </c>
      <c r="Z86" s="143">
        <f t="shared" ca="1" si="24"/>
        <v>30</v>
      </c>
      <c r="AA86" s="348">
        <f t="shared" ca="1" si="25"/>
        <v>6</v>
      </c>
      <c r="AB86" s="168">
        <f t="shared" ca="1" si="34"/>
        <v>0</v>
      </c>
      <c r="AF86" s="349">
        <f t="shared" ca="1" si="26"/>
        <v>99</v>
      </c>
      <c r="AG86" s="350">
        <f ca="1">MIN(AF86:AF$195)</f>
        <v>99</v>
      </c>
      <c r="AH86" s="121" t="b">
        <f t="shared" si="27"/>
        <v>0</v>
      </c>
      <c r="AJ86" s="191">
        <f t="shared" ca="1" si="28"/>
        <v>0</v>
      </c>
      <c r="AK86" s="168">
        <f>IF(D86&lt;&gt;D85,MAX(L$20:L85),AK85)</f>
        <v>0</v>
      </c>
      <c r="AL86" s="121" t="str">
        <f t="shared" ref="AL86:AL149" si="37">IF(ISNUMBER(K86),IF(K86&lt;AK86,$AL$19,"- -"),"- -")</f>
        <v>- -</v>
      </c>
      <c r="AM86" s="121">
        <f>MIN(K87:K$194)</f>
        <v>0</v>
      </c>
      <c r="AN86" s="352" t="str">
        <f t="shared" ref="AN86:AN149" si="38">IF(AND(AM86&gt;0,ISNUMBER(L86)),IF(L86&gt;AM86,$AN$19,"- -"),"- -")</f>
        <v>- -</v>
      </c>
      <c r="AP86" s="352">
        <f t="shared" si="35"/>
        <v>999</v>
      </c>
      <c r="AQ86" s="143">
        <f t="shared" ca="1" si="29"/>
        <v>1</v>
      </c>
      <c r="AR86" s="143">
        <f t="shared" ca="1" si="30"/>
        <v>0</v>
      </c>
      <c r="AU86" s="281" t="str">
        <f>IF($C86=$AB$15,'NTS ONLY_set_year'!$E$143," ")&amp;$D86</f>
        <v xml:space="preserve"> </v>
      </c>
      <c r="AV86" s="121">
        <f t="shared" ca="1" si="21"/>
        <v>0</v>
      </c>
      <c r="AW86" s="198">
        <f t="shared" ca="1" si="22"/>
        <v>0</v>
      </c>
      <c r="BM86" s="352">
        <f t="shared" ref="BM86:BN149" si="39">IF(OR(NOT(ISNUMBER(K86)),AND(K86&gt;=$BF$10,K86&lt;=$BF$11),AND(K86&gt;=$BJ$10,K86&lt;=$BJ$11),AND(K86&gt;=$BK$10,K86&lt;=$BK$11),AND(K86&gt;=$BL$10,K86&lt;=$BL$11),AND(K86&gt;=$BM$10,K86&lt;=$BM$11),AND(K86&gt;=$BN$10,K86&lt;=$BN$11)),1,999)</f>
        <v>1</v>
      </c>
      <c r="BN86" s="281">
        <f t="shared" si="39"/>
        <v>1</v>
      </c>
      <c r="BQ86" s="251"/>
      <c r="BR86" s="7"/>
      <c r="BS86" s="7"/>
      <c r="BT86" s="7"/>
      <c r="IU86" s="16"/>
    </row>
    <row r="87" spans="2:255" ht="13.2">
      <c r="B87" s="9">
        <v>68</v>
      </c>
      <c r="C87" s="17"/>
      <c r="D87" s="72"/>
      <c r="E87" s="76"/>
      <c r="F87" s="76"/>
      <c r="G87" s="76" t="str">
        <f ca="1">IF(ISBLANK(D87),IF(AND(ISNUMBER(D86),D86&lt;$AF$5),'NTS ONLY_set_year'!$E$62,"- -"),IF(D87&gt;$AF$5,$AG$5,IF(D87&gt;D86+1,$AG$6,IF(D87&lt;D86,$AG$7,Y87))))</f>
        <v>- -</v>
      </c>
      <c r="H87" s="532"/>
      <c r="I87" s="621"/>
      <c r="J87" s="534"/>
      <c r="K87" s="555"/>
      <c r="L87" s="556"/>
      <c r="M87" s="557" t="str">
        <f t="shared" si="23"/>
        <v/>
      </c>
      <c r="N87" s="558"/>
      <c r="O87" s="559"/>
      <c r="P87" s="560"/>
      <c r="Q87" s="559"/>
      <c r="R87" s="18" t="str">
        <f t="shared" si="31"/>
        <v/>
      </c>
      <c r="S87" s="36"/>
      <c r="T87" s="120" t="str">
        <f ca="1">INDEX('NTS ONLY_set_year'!E:E,MATCH(TEXT($X87,"Ddd"),'NTS ONLY_set_year'!C:C,0))</f>
        <v>Dim</v>
      </c>
      <c r="U87" s="186" t="str">
        <f t="shared" ca="1" si="32"/>
        <v>juin</v>
      </c>
      <c r="X87" s="347">
        <f t="shared" ca="1" si="36"/>
        <v>46173</v>
      </c>
      <c r="Y87" s="452" t="str">
        <f t="shared" ca="1" si="33"/>
        <v>Dim. juin , 2026</v>
      </c>
      <c r="Z87" s="143">
        <f t="shared" ca="1" si="24"/>
        <v>30</v>
      </c>
      <c r="AA87" s="348">
        <f t="shared" ca="1" si="25"/>
        <v>6</v>
      </c>
      <c r="AB87" s="168">
        <f t="shared" ca="1" si="34"/>
        <v>0</v>
      </c>
      <c r="AF87" s="349">
        <f t="shared" ca="1" si="26"/>
        <v>99</v>
      </c>
      <c r="AG87" s="350">
        <f ca="1">MIN(AF87:AF$195)</f>
        <v>99</v>
      </c>
      <c r="AH87" s="121" t="b">
        <f t="shared" si="27"/>
        <v>0</v>
      </c>
      <c r="AJ87" s="191">
        <f t="shared" ca="1" si="28"/>
        <v>0</v>
      </c>
      <c r="AK87" s="168">
        <f>IF(D87&lt;&gt;D86,MAX(L$20:L86),AK86)</f>
        <v>0</v>
      </c>
      <c r="AL87" s="121" t="str">
        <f t="shared" si="37"/>
        <v>- -</v>
      </c>
      <c r="AM87" s="121">
        <f>MIN(K88:K$194)</f>
        <v>0</v>
      </c>
      <c r="AN87" s="352" t="str">
        <f t="shared" si="38"/>
        <v>- -</v>
      </c>
      <c r="AP87" s="352">
        <f t="shared" si="35"/>
        <v>999</v>
      </c>
      <c r="AQ87" s="143">
        <f t="shared" ca="1" si="29"/>
        <v>1</v>
      </c>
      <c r="AR87" s="143">
        <f t="shared" ca="1" si="30"/>
        <v>0</v>
      </c>
      <c r="AU87" s="281" t="str">
        <f>IF($C87=$AB$15,'NTS ONLY_set_year'!$E$143," ")&amp;$D87</f>
        <v xml:space="preserve"> </v>
      </c>
      <c r="AV87" s="121">
        <f t="shared" ca="1" si="21"/>
        <v>0</v>
      </c>
      <c r="AW87" s="198">
        <f t="shared" ca="1" si="22"/>
        <v>0</v>
      </c>
      <c r="BM87" s="352">
        <f t="shared" si="39"/>
        <v>1</v>
      </c>
      <c r="BN87" s="281">
        <f t="shared" si="39"/>
        <v>1</v>
      </c>
      <c r="BQ87" s="251"/>
      <c r="BR87" s="7"/>
      <c r="BS87" s="7"/>
      <c r="BT87" s="7"/>
      <c r="IU87" s="16"/>
    </row>
    <row r="88" spans="2:255" ht="13.2">
      <c r="B88" s="9">
        <v>69</v>
      </c>
      <c r="C88" s="17"/>
      <c r="D88" s="72"/>
      <c r="E88" s="76"/>
      <c r="F88" s="76"/>
      <c r="G88" s="76" t="str">
        <f ca="1">IF(ISBLANK(D88),IF(AND(ISNUMBER(D87),D87&lt;$AF$5),'NTS ONLY_set_year'!$E$62,"- -"),IF(D88&gt;$AF$5,$AG$5,IF(D88&gt;D87+1,$AG$6,IF(D88&lt;D87,$AG$7,Y88))))</f>
        <v>- -</v>
      </c>
      <c r="H88" s="532"/>
      <c r="I88" s="621"/>
      <c r="J88" s="534"/>
      <c r="K88" s="555"/>
      <c r="L88" s="556"/>
      <c r="M88" s="557" t="str">
        <f t="shared" si="23"/>
        <v/>
      </c>
      <c r="N88" s="558"/>
      <c r="O88" s="559"/>
      <c r="P88" s="560"/>
      <c r="Q88" s="559"/>
      <c r="R88" s="18" t="str">
        <f t="shared" si="31"/>
        <v/>
      </c>
      <c r="S88" s="36"/>
      <c r="T88" s="120" t="str">
        <f ca="1">INDEX('NTS ONLY_set_year'!E:E,MATCH(TEXT($X88,"Ddd"),'NTS ONLY_set_year'!C:C,0))</f>
        <v>Dim</v>
      </c>
      <c r="U88" s="186" t="str">
        <f t="shared" ca="1" si="32"/>
        <v>juin</v>
      </c>
      <c r="X88" s="347">
        <f t="shared" ca="1" si="36"/>
        <v>46173</v>
      </c>
      <c r="Y88" s="452" t="str">
        <f t="shared" ca="1" si="33"/>
        <v>Dim. juin , 2026</v>
      </c>
      <c r="Z88" s="143">
        <f t="shared" ca="1" si="24"/>
        <v>30</v>
      </c>
      <c r="AA88" s="348">
        <f t="shared" ca="1" si="25"/>
        <v>6</v>
      </c>
      <c r="AB88" s="168">
        <f t="shared" ca="1" si="34"/>
        <v>0</v>
      </c>
      <c r="AF88" s="349">
        <f t="shared" ca="1" si="26"/>
        <v>99</v>
      </c>
      <c r="AG88" s="350">
        <f ca="1">MIN(AF88:AF$195)</f>
        <v>99</v>
      </c>
      <c r="AH88" s="121" t="b">
        <f t="shared" si="27"/>
        <v>0</v>
      </c>
      <c r="AJ88" s="191">
        <f t="shared" ca="1" si="28"/>
        <v>0</v>
      </c>
      <c r="AK88" s="168">
        <f>IF(D88&lt;&gt;D87,MAX(L$20:L87),AK87)</f>
        <v>0</v>
      </c>
      <c r="AL88" s="121" t="str">
        <f t="shared" si="37"/>
        <v>- -</v>
      </c>
      <c r="AM88" s="121">
        <f>MIN(K89:K$194)</f>
        <v>0</v>
      </c>
      <c r="AN88" s="352" t="str">
        <f t="shared" si="38"/>
        <v>- -</v>
      </c>
      <c r="AP88" s="352">
        <f t="shared" si="35"/>
        <v>999</v>
      </c>
      <c r="AQ88" s="143">
        <f t="shared" ca="1" si="29"/>
        <v>1</v>
      </c>
      <c r="AR88" s="143">
        <f t="shared" ca="1" si="30"/>
        <v>0</v>
      </c>
      <c r="AU88" s="281" t="str">
        <f>IF($C88=$AB$15,'NTS ONLY_set_year'!$E$143," ")&amp;$D88</f>
        <v xml:space="preserve"> </v>
      </c>
      <c r="AV88" s="121">
        <f t="shared" ca="1" si="21"/>
        <v>0</v>
      </c>
      <c r="AW88" s="198">
        <f t="shared" ca="1" si="22"/>
        <v>0</v>
      </c>
      <c r="BM88" s="352">
        <f t="shared" si="39"/>
        <v>1</v>
      </c>
      <c r="BN88" s="281">
        <f t="shared" si="39"/>
        <v>1</v>
      </c>
      <c r="BQ88" s="251"/>
      <c r="BR88" s="7"/>
      <c r="BS88" s="7"/>
      <c r="BT88" s="7"/>
      <c r="IU88" s="16"/>
    </row>
    <row r="89" spans="2:255" ht="13.2">
      <c r="B89" s="9">
        <v>70</v>
      </c>
      <c r="C89" s="17"/>
      <c r="D89" s="72"/>
      <c r="E89" s="76"/>
      <c r="F89" s="76"/>
      <c r="G89" s="76" t="str">
        <f ca="1">IF(ISBLANK(D89),IF(AND(ISNUMBER(D88),D88&lt;$AF$5),'NTS ONLY_set_year'!$E$62,"- -"),IF(D89&gt;$AF$5,$AG$5,IF(D89&gt;D88+1,$AG$6,IF(D89&lt;D88,$AG$7,Y89))))</f>
        <v>- -</v>
      </c>
      <c r="H89" s="532"/>
      <c r="I89" s="621"/>
      <c r="J89" s="534"/>
      <c r="K89" s="555"/>
      <c r="L89" s="556"/>
      <c r="M89" s="557" t="str">
        <f t="shared" si="23"/>
        <v/>
      </c>
      <c r="N89" s="558"/>
      <c r="O89" s="559"/>
      <c r="P89" s="560"/>
      <c r="Q89" s="559"/>
      <c r="R89" s="18" t="str">
        <f t="shared" si="31"/>
        <v/>
      </c>
      <c r="S89" s="36"/>
      <c r="T89" s="120" t="str">
        <f ca="1">INDEX('NTS ONLY_set_year'!E:E,MATCH(TEXT($X89,"Ddd"),'NTS ONLY_set_year'!C:C,0))</f>
        <v>Dim</v>
      </c>
      <c r="U89" s="186" t="str">
        <f t="shared" ca="1" si="32"/>
        <v>juin</v>
      </c>
      <c r="X89" s="347">
        <f t="shared" ca="1" si="36"/>
        <v>46173</v>
      </c>
      <c r="Y89" s="452" t="str">
        <f t="shared" ca="1" si="33"/>
        <v>Dim. juin , 2026</v>
      </c>
      <c r="Z89" s="143">
        <f t="shared" ca="1" si="24"/>
        <v>30</v>
      </c>
      <c r="AA89" s="348">
        <f t="shared" ca="1" si="25"/>
        <v>6</v>
      </c>
      <c r="AB89" s="168">
        <f t="shared" ca="1" si="34"/>
        <v>0</v>
      </c>
      <c r="AF89" s="349">
        <f t="shared" ca="1" si="26"/>
        <v>99</v>
      </c>
      <c r="AG89" s="350">
        <f ca="1">MIN(AF89:AF$195)</f>
        <v>99</v>
      </c>
      <c r="AH89" s="121" t="b">
        <f t="shared" si="27"/>
        <v>0</v>
      </c>
      <c r="AJ89" s="191">
        <f t="shared" ca="1" si="28"/>
        <v>0</v>
      </c>
      <c r="AK89" s="168">
        <f>IF(D89&lt;&gt;D88,MAX(L$20:L88),AK88)</f>
        <v>0</v>
      </c>
      <c r="AL89" s="121" t="str">
        <f t="shared" si="37"/>
        <v>- -</v>
      </c>
      <c r="AM89" s="121">
        <f>MIN(K90:K$194)</f>
        <v>0</v>
      </c>
      <c r="AN89" s="352" t="str">
        <f t="shared" si="38"/>
        <v>- -</v>
      </c>
      <c r="AP89" s="352">
        <f t="shared" si="35"/>
        <v>999</v>
      </c>
      <c r="AQ89" s="143">
        <f t="shared" ca="1" si="29"/>
        <v>1</v>
      </c>
      <c r="AR89" s="143">
        <f t="shared" ca="1" si="30"/>
        <v>0</v>
      </c>
      <c r="AU89" s="281" t="str">
        <f>IF($C89=$AB$15,'NTS ONLY_set_year'!$E$143," ")&amp;$D89</f>
        <v xml:space="preserve"> </v>
      </c>
      <c r="AV89" s="121">
        <f t="shared" ref="AV89:AV152" ca="1" si="40">IF($X$16=$X$14,0,IF(ISERROR(INDEX($AK$2:$BO$2,D89)),0,(INDEX($AK$2:$BO$2,D89))))</f>
        <v>0</v>
      </c>
      <c r="AW89" s="198">
        <f t="shared" ca="1" si="22"/>
        <v>0</v>
      </c>
      <c r="BM89" s="352">
        <f t="shared" si="39"/>
        <v>1</v>
      </c>
      <c r="BN89" s="281">
        <f t="shared" si="39"/>
        <v>1</v>
      </c>
      <c r="BQ89" s="251"/>
      <c r="BR89" s="7"/>
      <c r="BS89" s="7"/>
      <c r="BT89" s="7"/>
      <c r="IU89" s="16"/>
    </row>
    <row r="90" spans="2:255" ht="13.2">
      <c r="B90" s="9">
        <v>71</v>
      </c>
      <c r="C90" s="17"/>
      <c r="D90" s="72"/>
      <c r="E90" s="76"/>
      <c r="F90" s="76"/>
      <c r="G90" s="76" t="str">
        <f ca="1">IF(ISBLANK(D90),IF(AND(ISNUMBER(D89),D89&lt;$AF$5),'NTS ONLY_set_year'!$E$62,"- -"),IF(D90&gt;$AF$5,$AG$5,IF(D90&gt;D89+1,$AG$6,IF(D90&lt;D89,$AG$7,Y90))))</f>
        <v>- -</v>
      </c>
      <c r="H90" s="532"/>
      <c r="I90" s="621"/>
      <c r="J90" s="534"/>
      <c r="K90" s="555"/>
      <c r="L90" s="556"/>
      <c r="M90" s="557" t="str">
        <f t="shared" si="23"/>
        <v/>
      </c>
      <c r="N90" s="558"/>
      <c r="O90" s="559"/>
      <c r="P90" s="560"/>
      <c r="Q90" s="559"/>
      <c r="R90" s="18" t="str">
        <f t="shared" si="31"/>
        <v/>
      </c>
      <c r="S90" s="36"/>
      <c r="T90" s="120" t="str">
        <f ca="1">INDEX('NTS ONLY_set_year'!E:E,MATCH(TEXT($X90,"Ddd"),'NTS ONLY_set_year'!C:C,0))</f>
        <v>Dim</v>
      </c>
      <c r="U90" s="186" t="str">
        <f t="shared" ca="1" si="32"/>
        <v>juin</v>
      </c>
      <c r="X90" s="347">
        <f t="shared" ca="1" si="36"/>
        <v>46173</v>
      </c>
      <c r="Y90" s="452" t="str">
        <f t="shared" ca="1" si="33"/>
        <v>Dim. juin , 2026</v>
      </c>
      <c r="Z90" s="143">
        <f t="shared" ca="1" si="24"/>
        <v>30</v>
      </c>
      <c r="AA90" s="348">
        <f t="shared" ca="1" si="25"/>
        <v>6</v>
      </c>
      <c r="AB90" s="168">
        <f t="shared" ca="1" si="34"/>
        <v>0</v>
      </c>
      <c r="AF90" s="349">
        <f t="shared" ca="1" si="26"/>
        <v>99</v>
      </c>
      <c r="AG90" s="350">
        <f ca="1">MIN(AF90:AF$195)</f>
        <v>99</v>
      </c>
      <c r="AH90" s="121" t="b">
        <f t="shared" si="27"/>
        <v>0</v>
      </c>
      <c r="AJ90" s="191">
        <f t="shared" ca="1" si="28"/>
        <v>0</v>
      </c>
      <c r="AK90" s="168">
        <f>IF(D90&lt;&gt;D89,MAX(L$20:L89),AK89)</f>
        <v>0</v>
      </c>
      <c r="AL90" s="121" t="str">
        <f t="shared" si="37"/>
        <v>- -</v>
      </c>
      <c r="AM90" s="121">
        <f>MIN(K91:K$194)</f>
        <v>0</v>
      </c>
      <c r="AN90" s="352" t="str">
        <f t="shared" si="38"/>
        <v>- -</v>
      </c>
      <c r="AP90" s="352">
        <f t="shared" si="35"/>
        <v>999</v>
      </c>
      <c r="AQ90" s="143">
        <f t="shared" ca="1" si="29"/>
        <v>1</v>
      </c>
      <c r="AR90" s="143">
        <f t="shared" ca="1" si="30"/>
        <v>0</v>
      </c>
      <c r="AU90" s="281" t="str">
        <f>IF($C90=$AB$15,'NTS ONLY_set_year'!$E$143," ")&amp;$D90</f>
        <v xml:space="preserve"> </v>
      </c>
      <c r="AV90" s="121">
        <f t="shared" ca="1" si="40"/>
        <v>0</v>
      </c>
      <c r="AW90" s="198">
        <f t="shared" ca="1" si="22"/>
        <v>0</v>
      </c>
      <c r="BM90" s="352">
        <f t="shared" si="39"/>
        <v>1</v>
      </c>
      <c r="BN90" s="281">
        <f t="shared" si="39"/>
        <v>1</v>
      </c>
      <c r="BQ90" s="251"/>
      <c r="BR90" s="7"/>
      <c r="BS90" s="7"/>
      <c r="BT90" s="7"/>
      <c r="IU90" s="16"/>
    </row>
    <row r="91" spans="2:255" ht="13.2">
      <c r="B91" s="9">
        <v>72</v>
      </c>
      <c r="C91" s="17"/>
      <c r="D91" s="72"/>
      <c r="E91" s="76"/>
      <c r="F91" s="76"/>
      <c r="G91" s="76" t="str">
        <f ca="1">IF(ISBLANK(D91),IF(AND(ISNUMBER(D90),D90&lt;$AF$5),'NTS ONLY_set_year'!$E$62,"- -"),IF(D91&gt;$AF$5,$AG$5,IF(D91&gt;D90+1,$AG$6,IF(D91&lt;D90,$AG$7,Y91))))</f>
        <v>- -</v>
      </c>
      <c r="H91" s="532"/>
      <c r="I91" s="621"/>
      <c r="J91" s="534"/>
      <c r="K91" s="555"/>
      <c r="L91" s="556"/>
      <c r="M91" s="557" t="str">
        <f t="shared" si="23"/>
        <v/>
      </c>
      <c r="N91" s="558"/>
      <c r="O91" s="559"/>
      <c r="P91" s="560"/>
      <c r="Q91" s="559"/>
      <c r="R91" s="18" t="str">
        <f t="shared" si="31"/>
        <v/>
      </c>
      <c r="S91" s="36"/>
      <c r="T91" s="120" t="str">
        <f ca="1">INDEX('NTS ONLY_set_year'!E:E,MATCH(TEXT($X91,"Ddd"),'NTS ONLY_set_year'!C:C,0))</f>
        <v>Dim</v>
      </c>
      <c r="U91" s="186" t="str">
        <f t="shared" ca="1" si="32"/>
        <v>juin</v>
      </c>
      <c r="X91" s="347">
        <f t="shared" ca="1" si="36"/>
        <v>46173</v>
      </c>
      <c r="Y91" s="452" t="str">
        <f t="shared" ca="1" si="33"/>
        <v>Dim. juin , 2026</v>
      </c>
      <c r="Z91" s="143">
        <f t="shared" ca="1" si="24"/>
        <v>30</v>
      </c>
      <c r="AA91" s="348">
        <f t="shared" ca="1" si="25"/>
        <v>6</v>
      </c>
      <c r="AB91" s="168">
        <f t="shared" ca="1" si="34"/>
        <v>0</v>
      </c>
      <c r="AF91" s="349">
        <f t="shared" ca="1" si="26"/>
        <v>99</v>
      </c>
      <c r="AG91" s="350">
        <f ca="1">MIN(AF91:AF$195)</f>
        <v>99</v>
      </c>
      <c r="AH91" s="121" t="b">
        <f t="shared" si="27"/>
        <v>0</v>
      </c>
      <c r="AJ91" s="191">
        <f t="shared" ca="1" si="28"/>
        <v>0</v>
      </c>
      <c r="AK91" s="168">
        <f>IF(D91&lt;&gt;D90,MAX(L$20:L90),AK90)</f>
        <v>0</v>
      </c>
      <c r="AL91" s="121" t="str">
        <f t="shared" si="37"/>
        <v>- -</v>
      </c>
      <c r="AM91" s="121">
        <f>MIN(K92:K$194)</f>
        <v>0</v>
      </c>
      <c r="AN91" s="352" t="str">
        <f t="shared" si="38"/>
        <v>- -</v>
      </c>
      <c r="AP91" s="352">
        <f t="shared" si="35"/>
        <v>999</v>
      </c>
      <c r="AQ91" s="143">
        <f t="shared" ca="1" si="29"/>
        <v>1</v>
      </c>
      <c r="AR91" s="143">
        <f t="shared" ca="1" si="30"/>
        <v>0</v>
      </c>
      <c r="AU91" s="281" t="str">
        <f>IF($C91=$AB$15,'NTS ONLY_set_year'!$E$143," ")&amp;$D91</f>
        <v xml:space="preserve"> </v>
      </c>
      <c r="AV91" s="121">
        <f t="shared" ca="1" si="40"/>
        <v>0</v>
      </c>
      <c r="AW91" s="198">
        <f t="shared" ca="1" si="22"/>
        <v>0</v>
      </c>
      <c r="BM91" s="352">
        <f t="shared" si="39"/>
        <v>1</v>
      </c>
      <c r="BN91" s="281">
        <f t="shared" si="39"/>
        <v>1</v>
      </c>
      <c r="BQ91" s="251"/>
      <c r="BR91" s="7"/>
      <c r="BS91" s="7"/>
      <c r="BT91" s="7"/>
      <c r="IU91" s="16"/>
    </row>
    <row r="92" spans="2:255" ht="13.2">
      <c r="B92" s="9">
        <v>73</v>
      </c>
      <c r="C92" s="17"/>
      <c r="D92" s="72"/>
      <c r="E92" s="76"/>
      <c r="F92" s="76"/>
      <c r="G92" s="76" t="str">
        <f ca="1">IF(ISBLANK(D92),IF(AND(ISNUMBER(D91),D91&lt;$AF$5),'NTS ONLY_set_year'!$E$62,"- -"),IF(D92&gt;$AF$5,$AG$5,IF(D92&gt;D91+1,$AG$6,IF(D92&lt;D91,$AG$7,Y92))))</f>
        <v>- -</v>
      </c>
      <c r="H92" s="532"/>
      <c r="I92" s="621"/>
      <c r="J92" s="534"/>
      <c r="K92" s="555"/>
      <c r="L92" s="556"/>
      <c r="M92" s="557" t="str">
        <f t="shared" si="23"/>
        <v/>
      </c>
      <c r="N92" s="558"/>
      <c r="O92" s="559"/>
      <c r="P92" s="560"/>
      <c r="Q92" s="559"/>
      <c r="R92" s="18" t="str">
        <f t="shared" si="31"/>
        <v/>
      </c>
      <c r="S92" s="36"/>
      <c r="T92" s="120" t="str">
        <f ca="1">INDEX('NTS ONLY_set_year'!E:E,MATCH(TEXT($X92,"Ddd"),'NTS ONLY_set_year'!C:C,0))</f>
        <v>Dim</v>
      </c>
      <c r="U92" s="186" t="str">
        <f t="shared" ca="1" si="32"/>
        <v>juin</v>
      </c>
      <c r="X92" s="347">
        <f t="shared" ca="1" si="36"/>
        <v>46173</v>
      </c>
      <c r="Y92" s="452" t="str">
        <f t="shared" ca="1" si="33"/>
        <v>Dim. juin , 2026</v>
      </c>
      <c r="Z92" s="143">
        <f t="shared" ca="1" si="24"/>
        <v>30</v>
      </c>
      <c r="AA92" s="348">
        <f t="shared" ca="1" si="25"/>
        <v>6</v>
      </c>
      <c r="AB92" s="168">
        <f t="shared" ca="1" si="34"/>
        <v>0</v>
      </c>
      <c r="AF92" s="349">
        <f t="shared" ca="1" si="26"/>
        <v>99</v>
      </c>
      <c r="AG92" s="350">
        <f ca="1">MIN(AF92:AF$195)</f>
        <v>99</v>
      </c>
      <c r="AH92" s="121" t="b">
        <f t="shared" si="27"/>
        <v>0</v>
      </c>
      <c r="AJ92" s="191">
        <f t="shared" ca="1" si="28"/>
        <v>0</v>
      </c>
      <c r="AK92" s="168">
        <f>IF(D92&lt;&gt;D91,MAX(L$20:L91),AK91)</f>
        <v>0</v>
      </c>
      <c r="AL92" s="121" t="str">
        <f t="shared" si="37"/>
        <v>- -</v>
      </c>
      <c r="AM92" s="121">
        <f>MIN(K93:K$194)</f>
        <v>0</v>
      </c>
      <c r="AN92" s="352" t="str">
        <f t="shared" si="38"/>
        <v>- -</v>
      </c>
      <c r="AP92" s="352">
        <f t="shared" si="35"/>
        <v>999</v>
      </c>
      <c r="AQ92" s="143">
        <f t="shared" ca="1" si="29"/>
        <v>1</v>
      </c>
      <c r="AR92" s="143">
        <f t="shared" ca="1" si="30"/>
        <v>0</v>
      </c>
      <c r="AU92" s="281" t="str">
        <f>IF($C92=$AB$15,'NTS ONLY_set_year'!$E$143," ")&amp;$D92</f>
        <v xml:space="preserve"> </v>
      </c>
      <c r="AV92" s="121">
        <f t="shared" ca="1" si="40"/>
        <v>0</v>
      </c>
      <c r="AW92" s="198">
        <f t="shared" ca="1" si="22"/>
        <v>0</v>
      </c>
      <c r="BM92" s="352">
        <f t="shared" si="39"/>
        <v>1</v>
      </c>
      <c r="BN92" s="281">
        <f t="shared" si="39"/>
        <v>1</v>
      </c>
      <c r="BQ92" s="251"/>
      <c r="BR92" s="7"/>
      <c r="BS92" s="7"/>
      <c r="BT92" s="7"/>
      <c r="IU92" s="16"/>
    </row>
    <row r="93" spans="2:255" ht="13.2">
      <c r="B93" s="9">
        <v>74</v>
      </c>
      <c r="C93" s="17"/>
      <c r="D93" s="72"/>
      <c r="E93" s="76"/>
      <c r="F93" s="76"/>
      <c r="G93" s="76" t="str">
        <f ca="1">IF(ISBLANK(D93),IF(AND(ISNUMBER(D92),D92&lt;$AF$5),'NTS ONLY_set_year'!$E$62,"- -"),IF(D93&gt;$AF$5,$AG$5,IF(D93&gt;D92+1,$AG$6,IF(D93&lt;D92,$AG$7,Y93))))</f>
        <v>- -</v>
      </c>
      <c r="H93" s="532"/>
      <c r="I93" s="621"/>
      <c r="J93" s="534"/>
      <c r="K93" s="555"/>
      <c r="L93" s="556"/>
      <c r="M93" s="557" t="str">
        <f t="shared" si="23"/>
        <v/>
      </c>
      <c r="N93" s="558"/>
      <c r="O93" s="559"/>
      <c r="P93" s="560"/>
      <c r="Q93" s="559"/>
      <c r="R93" s="18" t="str">
        <f t="shared" si="31"/>
        <v/>
      </c>
      <c r="S93" s="36"/>
      <c r="T93" s="120" t="str">
        <f ca="1">INDEX('NTS ONLY_set_year'!E:E,MATCH(TEXT($X93,"Ddd"),'NTS ONLY_set_year'!C:C,0))</f>
        <v>Dim</v>
      </c>
      <c r="U93" s="186" t="str">
        <f t="shared" ca="1" si="32"/>
        <v>juin</v>
      </c>
      <c r="X93" s="347">
        <f t="shared" ca="1" si="36"/>
        <v>46173</v>
      </c>
      <c r="Y93" s="452" t="str">
        <f t="shared" ca="1" si="33"/>
        <v>Dim. juin , 2026</v>
      </c>
      <c r="Z93" s="143">
        <f t="shared" ca="1" si="24"/>
        <v>30</v>
      </c>
      <c r="AA93" s="348">
        <f t="shared" ca="1" si="25"/>
        <v>6</v>
      </c>
      <c r="AB93" s="168">
        <f t="shared" ca="1" si="34"/>
        <v>0</v>
      </c>
      <c r="AF93" s="349">
        <f t="shared" ca="1" si="26"/>
        <v>99</v>
      </c>
      <c r="AG93" s="350">
        <f ca="1">MIN(AF93:AF$195)</f>
        <v>99</v>
      </c>
      <c r="AH93" s="121" t="b">
        <f t="shared" si="27"/>
        <v>0</v>
      </c>
      <c r="AJ93" s="191">
        <f t="shared" ca="1" si="28"/>
        <v>0</v>
      </c>
      <c r="AK93" s="168">
        <f>IF(D93&lt;&gt;D92,MAX(L$20:L92),AK92)</f>
        <v>0</v>
      </c>
      <c r="AL93" s="121" t="str">
        <f t="shared" si="37"/>
        <v>- -</v>
      </c>
      <c r="AM93" s="121">
        <f>MIN(K94:K$194)</f>
        <v>0</v>
      </c>
      <c r="AN93" s="352" t="str">
        <f t="shared" si="38"/>
        <v>- -</v>
      </c>
      <c r="AP93" s="352">
        <f t="shared" si="35"/>
        <v>999</v>
      </c>
      <c r="AQ93" s="143">
        <f t="shared" ca="1" si="29"/>
        <v>1</v>
      </c>
      <c r="AR93" s="143">
        <f t="shared" ca="1" si="30"/>
        <v>0</v>
      </c>
      <c r="AU93" s="281" t="str">
        <f>IF($C93=$AB$15,'NTS ONLY_set_year'!$E$143," ")&amp;$D93</f>
        <v xml:space="preserve"> </v>
      </c>
      <c r="AV93" s="121">
        <f t="shared" ca="1" si="40"/>
        <v>0</v>
      </c>
      <c r="AW93" s="198">
        <f t="shared" ca="1" si="22"/>
        <v>0</v>
      </c>
      <c r="BM93" s="352">
        <f t="shared" si="39"/>
        <v>1</v>
      </c>
      <c r="BN93" s="281">
        <f t="shared" si="39"/>
        <v>1</v>
      </c>
      <c r="BQ93" s="251"/>
      <c r="BR93" s="7"/>
      <c r="BS93" s="7"/>
      <c r="BT93" s="7"/>
      <c r="IU93" s="16"/>
    </row>
    <row r="94" spans="2:255" ht="13.2">
      <c r="B94" s="9">
        <v>75</v>
      </c>
      <c r="C94" s="17"/>
      <c r="D94" s="72"/>
      <c r="E94" s="76"/>
      <c r="F94" s="76"/>
      <c r="G94" s="76" t="str">
        <f ca="1">IF(ISBLANK(D94),IF(AND(ISNUMBER(D93),D93&lt;$AF$5),'NTS ONLY_set_year'!$E$62,"- -"),IF(D94&gt;$AF$5,$AG$5,IF(D94&gt;D93+1,$AG$6,IF(D94&lt;D93,$AG$7,Y94))))</f>
        <v>- -</v>
      </c>
      <c r="H94" s="532"/>
      <c r="I94" s="621"/>
      <c r="J94" s="534"/>
      <c r="K94" s="555"/>
      <c r="L94" s="556"/>
      <c r="M94" s="557" t="str">
        <f t="shared" si="23"/>
        <v/>
      </c>
      <c r="N94" s="558"/>
      <c r="O94" s="559"/>
      <c r="P94" s="560"/>
      <c r="Q94" s="559"/>
      <c r="R94" s="18" t="str">
        <f t="shared" si="31"/>
        <v/>
      </c>
      <c r="S94" s="36"/>
      <c r="T94" s="120" t="str">
        <f ca="1">INDEX('NTS ONLY_set_year'!E:E,MATCH(TEXT($X94,"Ddd"),'NTS ONLY_set_year'!C:C,0))</f>
        <v>Dim</v>
      </c>
      <c r="U94" s="186" t="str">
        <f t="shared" ca="1" si="32"/>
        <v>juin</v>
      </c>
      <c r="X94" s="347">
        <f t="shared" ca="1" si="36"/>
        <v>46173</v>
      </c>
      <c r="Y94" s="452" t="str">
        <f t="shared" ca="1" si="33"/>
        <v>Dim. juin , 2026</v>
      </c>
      <c r="Z94" s="143">
        <f t="shared" ca="1" si="24"/>
        <v>30</v>
      </c>
      <c r="AA94" s="348">
        <f t="shared" ca="1" si="25"/>
        <v>6</v>
      </c>
      <c r="AB94" s="168">
        <f t="shared" ca="1" si="34"/>
        <v>0</v>
      </c>
      <c r="AF94" s="349">
        <f t="shared" ca="1" si="26"/>
        <v>99</v>
      </c>
      <c r="AG94" s="350">
        <f ca="1">MIN(AF94:AF$195)</f>
        <v>99</v>
      </c>
      <c r="AH94" s="121" t="b">
        <f t="shared" si="27"/>
        <v>0</v>
      </c>
      <c r="AJ94" s="191">
        <f t="shared" ca="1" si="28"/>
        <v>0</v>
      </c>
      <c r="AK94" s="168">
        <f>IF(D94&lt;&gt;D93,MAX(L$20:L93),AK93)</f>
        <v>0</v>
      </c>
      <c r="AL94" s="121" t="str">
        <f t="shared" si="37"/>
        <v>- -</v>
      </c>
      <c r="AM94" s="121">
        <f>MIN(K95:K$194)</f>
        <v>0</v>
      </c>
      <c r="AN94" s="352" t="str">
        <f t="shared" si="38"/>
        <v>- -</v>
      </c>
      <c r="AP94" s="352">
        <f t="shared" si="35"/>
        <v>999</v>
      </c>
      <c r="AQ94" s="143">
        <f t="shared" ca="1" si="29"/>
        <v>1</v>
      </c>
      <c r="AR94" s="143">
        <f t="shared" ca="1" si="30"/>
        <v>0</v>
      </c>
      <c r="AU94" s="281" t="str">
        <f>IF($C94=$AB$15,'NTS ONLY_set_year'!$E$143," ")&amp;$D94</f>
        <v xml:space="preserve"> </v>
      </c>
      <c r="AV94" s="121">
        <f t="shared" ca="1" si="40"/>
        <v>0</v>
      </c>
      <c r="AW94" s="198">
        <f t="shared" ca="1" si="22"/>
        <v>0</v>
      </c>
      <c r="BM94" s="352">
        <f t="shared" si="39"/>
        <v>1</v>
      </c>
      <c r="BN94" s="281">
        <f t="shared" si="39"/>
        <v>1</v>
      </c>
      <c r="BQ94" s="251"/>
      <c r="BR94" s="7"/>
      <c r="BS94" s="7"/>
      <c r="BT94" s="7"/>
      <c r="IU94" s="16"/>
    </row>
    <row r="95" spans="2:255" ht="13.2">
      <c r="B95" s="9">
        <v>76</v>
      </c>
      <c r="C95" s="17"/>
      <c r="D95" s="72"/>
      <c r="E95" s="76"/>
      <c r="F95" s="76"/>
      <c r="G95" s="76" t="str">
        <f ca="1">IF(ISBLANK(D95),IF(AND(ISNUMBER(D94),D94&lt;$AF$5),'NTS ONLY_set_year'!$E$62,"- -"),IF(D95&gt;$AF$5,$AG$5,IF(D95&gt;D94+1,$AG$6,IF(D95&lt;D94,$AG$7,Y95))))</f>
        <v>- -</v>
      </c>
      <c r="H95" s="532"/>
      <c r="I95" s="621"/>
      <c r="J95" s="534"/>
      <c r="K95" s="555"/>
      <c r="L95" s="556"/>
      <c r="M95" s="557" t="str">
        <f t="shared" si="23"/>
        <v/>
      </c>
      <c r="N95" s="558"/>
      <c r="O95" s="559"/>
      <c r="P95" s="560"/>
      <c r="Q95" s="559"/>
      <c r="R95" s="18" t="str">
        <f t="shared" si="31"/>
        <v/>
      </c>
      <c r="S95" s="36"/>
      <c r="T95" s="120" t="str">
        <f ca="1">INDEX('NTS ONLY_set_year'!E:E,MATCH(TEXT($X95,"Ddd"),'NTS ONLY_set_year'!C:C,0))</f>
        <v>Dim</v>
      </c>
      <c r="U95" s="186" t="str">
        <f t="shared" ca="1" si="32"/>
        <v>juin</v>
      </c>
      <c r="X95" s="347">
        <f t="shared" ca="1" si="36"/>
        <v>46173</v>
      </c>
      <c r="Y95" s="452" t="str">
        <f t="shared" ca="1" si="33"/>
        <v>Dim. juin , 2026</v>
      </c>
      <c r="Z95" s="143">
        <f t="shared" ca="1" si="24"/>
        <v>30</v>
      </c>
      <c r="AA95" s="348">
        <f t="shared" ca="1" si="25"/>
        <v>6</v>
      </c>
      <c r="AB95" s="168">
        <f t="shared" ca="1" si="34"/>
        <v>0</v>
      </c>
      <c r="AF95" s="349">
        <f t="shared" ca="1" si="26"/>
        <v>99</v>
      </c>
      <c r="AG95" s="350">
        <f ca="1">MIN(AF95:AF$195)</f>
        <v>99</v>
      </c>
      <c r="AH95" s="121" t="b">
        <f t="shared" si="27"/>
        <v>0</v>
      </c>
      <c r="AJ95" s="191">
        <f t="shared" ca="1" si="28"/>
        <v>0</v>
      </c>
      <c r="AK95" s="168">
        <f>IF(D95&lt;&gt;D94,MAX(L$20:L94),AK94)</f>
        <v>0</v>
      </c>
      <c r="AL95" s="121" t="str">
        <f t="shared" si="37"/>
        <v>- -</v>
      </c>
      <c r="AM95" s="121">
        <f>MIN(K96:K$194)</f>
        <v>0</v>
      </c>
      <c r="AN95" s="352" t="str">
        <f t="shared" si="38"/>
        <v>- -</v>
      </c>
      <c r="AP95" s="352">
        <f t="shared" si="35"/>
        <v>999</v>
      </c>
      <c r="AQ95" s="143">
        <f t="shared" ca="1" si="29"/>
        <v>1</v>
      </c>
      <c r="AR95" s="143">
        <f t="shared" ca="1" si="30"/>
        <v>0</v>
      </c>
      <c r="AU95" s="281" t="str">
        <f>IF($C95=$AB$15,'NTS ONLY_set_year'!$E$143," ")&amp;$D95</f>
        <v xml:space="preserve"> </v>
      </c>
      <c r="AV95" s="121">
        <f t="shared" ca="1" si="40"/>
        <v>0</v>
      </c>
      <c r="AW95" s="198">
        <f t="shared" ca="1" si="22"/>
        <v>0</v>
      </c>
      <c r="BM95" s="352">
        <f t="shared" si="39"/>
        <v>1</v>
      </c>
      <c r="BN95" s="281">
        <f t="shared" si="39"/>
        <v>1</v>
      </c>
      <c r="BQ95" s="251"/>
      <c r="BR95" s="7"/>
      <c r="BS95" s="7"/>
      <c r="BT95" s="7"/>
      <c r="IU95" s="16"/>
    </row>
    <row r="96" spans="2:255" ht="13.2">
      <c r="B96" s="9">
        <v>77</v>
      </c>
      <c r="C96" s="17"/>
      <c r="D96" s="72"/>
      <c r="E96" s="76"/>
      <c r="F96" s="76"/>
      <c r="G96" s="76" t="str">
        <f ca="1">IF(ISBLANK(D96),IF(AND(ISNUMBER(D95),D95&lt;$AF$5),'NTS ONLY_set_year'!$E$62,"- -"),IF(D96&gt;$AF$5,$AG$5,IF(D96&gt;D95+1,$AG$6,IF(D96&lt;D95,$AG$7,Y96))))</f>
        <v>- -</v>
      </c>
      <c r="H96" s="532"/>
      <c r="I96" s="621"/>
      <c r="J96" s="534"/>
      <c r="K96" s="555"/>
      <c r="L96" s="556"/>
      <c r="M96" s="557" t="str">
        <f t="shared" si="23"/>
        <v/>
      </c>
      <c r="N96" s="558"/>
      <c r="O96" s="559"/>
      <c r="P96" s="560"/>
      <c r="Q96" s="559"/>
      <c r="R96" s="18" t="str">
        <f t="shared" si="31"/>
        <v/>
      </c>
      <c r="S96" s="36"/>
      <c r="T96" s="120" t="str">
        <f ca="1">INDEX('NTS ONLY_set_year'!E:E,MATCH(TEXT($X96,"Ddd"),'NTS ONLY_set_year'!C:C,0))</f>
        <v>Dim</v>
      </c>
      <c r="U96" s="186" t="str">
        <f t="shared" ca="1" si="32"/>
        <v>juin</v>
      </c>
      <c r="X96" s="347">
        <f t="shared" ca="1" si="36"/>
        <v>46173</v>
      </c>
      <c r="Y96" s="452" t="str">
        <f t="shared" ca="1" si="33"/>
        <v>Dim. juin , 2026</v>
      </c>
      <c r="Z96" s="143">
        <f t="shared" ca="1" si="24"/>
        <v>30</v>
      </c>
      <c r="AA96" s="348">
        <f t="shared" ca="1" si="25"/>
        <v>6</v>
      </c>
      <c r="AB96" s="168">
        <f t="shared" ca="1" si="34"/>
        <v>0</v>
      </c>
      <c r="AF96" s="349">
        <f t="shared" ca="1" si="26"/>
        <v>99</v>
      </c>
      <c r="AG96" s="350">
        <f ca="1">MIN(AF96:AF$195)</f>
        <v>99</v>
      </c>
      <c r="AH96" s="121" t="b">
        <f t="shared" si="27"/>
        <v>0</v>
      </c>
      <c r="AJ96" s="191">
        <f t="shared" ca="1" si="28"/>
        <v>0</v>
      </c>
      <c r="AK96" s="168">
        <f>IF(D96&lt;&gt;D95,MAX(L$20:L95),AK95)</f>
        <v>0</v>
      </c>
      <c r="AL96" s="121" t="str">
        <f t="shared" si="37"/>
        <v>- -</v>
      </c>
      <c r="AM96" s="121">
        <f>MIN(K97:K$194)</f>
        <v>0</v>
      </c>
      <c r="AN96" s="352" t="str">
        <f t="shared" si="38"/>
        <v>- -</v>
      </c>
      <c r="AP96" s="352">
        <f t="shared" si="35"/>
        <v>999</v>
      </c>
      <c r="AQ96" s="143">
        <f t="shared" ca="1" si="29"/>
        <v>1</v>
      </c>
      <c r="AR96" s="143">
        <f t="shared" ca="1" si="30"/>
        <v>0</v>
      </c>
      <c r="AU96" s="281" t="str">
        <f>IF($C96=$AB$15,'NTS ONLY_set_year'!$E$143," ")&amp;$D96</f>
        <v xml:space="preserve"> </v>
      </c>
      <c r="AV96" s="121">
        <f t="shared" ca="1" si="40"/>
        <v>0</v>
      </c>
      <c r="AW96" s="198">
        <f t="shared" ca="1" si="22"/>
        <v>0</v>
      </c>
      <c r="BM96" s="352">
        <f t="shared" si="39"/>
        <v>1</v>
      </c>
      <c r="BN96" s="281">
        <f t="shared" si="39"/>
        <v>1</v>
      </c>
      <c r="BQ96" s="251"/>
      <c r="BR96" s="7"/>
      <c r="BS96" s="7"/>
      <c r="BT96" s="7"/>
      <c r="IU96" s="16"/>
    </row>
    <row r="97" spans="2:255" ht="13.2">
      <c r="B97" s="9">
        <v>78</v>
      </c>
      <c r="C97" s="17"/>
      <c r="D97" s="72"/>
      <c r="E97" s="76"/>
      <c r="F97" s="76"/>
      <c r="G97" s="76" t="str">
        <f ca="1">IF(ISBLANK(D97),IF(AND(ISNUMBER(D96),D96&lt;$AF$5),'NTS ONLY_set_year'!$E$62,"- -"),IF(D97&gt;$AF$5,$AG$5,IF(D97&gt;D96+1,$AG$6,IF(D97&lt;D96,$AG$7,Y97))))</f>
        <v>- -</v>
      </c>
      <c r="H97" s="532"/>
      <c r="I97" s="621"/>
      <c r="J97" s="534"/>
      <c r="K97" s="555"/>
      <c r="L97" s="556"/>
      <c r="M97" s="557" t="str">
        <f t="shared" si="23"/>
        <v/>
      </c>
      <c r="N97" s="558"/>
      <c r="O97" s="559"/>
      <c r="P97" s="560"/>
      <c r="Q97" s="559"/>
      <c r="R97" s="18" t="str">
        <f t="shared" si="31"/>
        <v/>
      </c>
      <c r="S97" s="36"/>
      <c r="T97" s="120" t="str">
        <f ca="1">INDEX('NTS ONLY_set_year'!E:E,MATCH(TEXT($X97,"Ddd"),'NTS ONLY_set_year'!C:C,0))</f>
        <v>Dim</v>
      </c>
      <c r="U97" s="186" t="str">
        <f t="shared" ca="1" si="32"/>
        <v>juin</v>
      </c>
      <c r="X97" s="347">
        <f t="shared" ca="1" si="36"/>
        <v>46173</v>
      </c>
      <c r="Y97" s="452" t="str">
        <f t="shared" ca="1" si="33"/>
        <v>Dim. juin , 2026</v>
      </c>
      <c r="Z97" s="143">
        <f t="shared" ca="1" si="24"/>
        <v>30</v>
      </c>
      <c r="AA97" s="348">
        <f t="shared" ca="1" si="25"/>
        <v>6</v>
      </c>
      <c r="AB97" s="168">
        <f t="shared" ca="1" si="34"/>
        <v>0</v>
      </c>
      <c r="AF97" s="349">
        <f t="shared" ca="1" si="26"/>
        <v>99</v>
      </c>
      <c r="AG97" s="350">
        <f ca="1">MIN(AF97:AF$195)</f>
        <v>99</v>
      </c>
      <c r="AH97" s="121" t="b">
        <f t="shared" si="27"/>
        <v>0</v>
      </c>
      <c r="AJ97" s="191">
        <f t="shared" ca="1" si="28"/>
        <v>0</v>
      </c>
      <c r="AK97" s="168">
        <f>IF(D97&lt;&gt;D96,MAX(L$20:L96),AK96)</f>
        <v>0</v>
      </c>
      <c r="AL97" s="121" t="str">
        <f t="shared" si="37"/>
        <v>- -</v>
      </c>
      <c r="AM97" s="121">
        <f>MIN(K98:K$194)</f>
        <v>0</v>
      </c>
      <c r="AN97" s="352" t="str">
        <f t="shared" si="38"/>
        <v>- -</v>
      </c>
      <c r="AP97" s="352">
        <f t="shared" si="35"/>
        <v>999</v>
      </c>
      <c r="AQ97" s="143">
        <f t="shared" ca="1" si="29"/>
        <v>1</v>
      </c>
      <c r="AR97" s="143">
        <f t="shared" ca="1" si="30"/>
        <v>0</v>
      </c>
      <c r="AU97" s="281" t="str">
        <f>IF($C97=$AB$15,'NTS ONLY_set_year'!$E$143," ")&amp;$D97</f>
        <v xml:space="preserve"> </v>
      </c>
      <c r="AV97" s="121">
        <f t="shared" ca="1" si="40"/>
        <v>0</v>
      </c>
      <c r="AW97" s="198">
        <f t="shared" ca="1" si="22"/>
        <v>0</v>
      </c>
      <c r="BM97" s="352">
        <f t="shared" si="39"/>
        <v>1</v>
      </c>
      <c r="BN97" s="281">
        <f t="shared" si="39"/>
        <v>1</v>
      </c>
      <c r="BQ97" s="251"/>
      <c r="BR97" s="7"/>
      <c r="BS97" s="7"/>
      <c r="BT97" s="7"/>
      <c r="IU97" s="16"/>
    </row>
    <row r="98" spans="2:255" ht="13.2">
      <c r="B98" s="9">
        <v>79</v>
      </c>
      <c r="C98" s="17"/>
      <c r="D98" s="72"/>
      <c r="E98" s="76"/>
      <c r="F98" s="76"/>
      <c r="G98" s="76" t="str">
        <f ca="1">IF(ISBLANK(D98),IF(AND(ISNUMBER(D97),D97&lt;$AF$5),'NTS ONLY_set_year'!$E$62,"- -"),IF(D98&gt;$AF$5,$AG$5,IF(D98&gt;D97+1,$AG$6,IF(D98&lt;D97,$AG$7,Y98))))</f>
        <v>- -</v>
      </c>
      <c r="H98" s="532"/>
      <c r="I98" s="621"/>
      <c r="J98" s="534"/>
      <c r="K98" s="555"/>
      <c r="L98" s="556"/>
      <c r="M98" s="557" t="str">
        <f t="shared" si="23"/>
        <v/>
      </c>
      <c r="N98" s="558"/>
      <c r="O98" s="559"/>
      <c r="P98" s="560"/>
      <c r="Q98" s="559"/>
      <c r="R98" s="18" t="str">
        <f t="shared" si="31"/>
        <v/>
      </c>
      <c r="S98" s="36"/>
      <c r="T98" s="120" t="str">
        <f ca="1">INDEX('NTS ONLY_set_year'!E:E,MATCH(TEXT($X98,"Ddd"),'NTS ONLY_set_year'!C:C,0))</f>
        <v>Dim</v>
      </c>
      <c r="U98" s="186" t="str">
        <f t="shared" ca="1" si="32"/>
        <v>juin</v>
      </c>
      <c r="X98" s="347">
        <f t="shared" ca="1" si="36"/>
        <v>46173</v>
      </c>
      <c r="Y98" s="452" t="str">
        <f t="shared" ca="1" si="33"/>
        <v>Dim. juin , 2026</v>
      </c>
      <c r="Z98" s="143">
        <f t="shared" ca="1" si="24"/>
        <v>30</v>
      </c>
      <c r="AA98" s="348">
        <f t="shared" ca="1" si="25"/>
        <v>6</v>
      </c>
      <c r="AB98" s="168">
        <f t="shared" ca="1" si="34"/>
        <v>0</v>
      </c>
      <c r="AF98" s="349">
        <f t="shared" ca="1" si="26"/>
        <v>99</v>
      </c>
      <c r="AG98" s="350">
        <f ca="1">MIN(AF98:AF$195)</f>
        <v>99</v>
      </c>
      <c r="AH98" s="121" t="b">
        <f t="shared" si="27"/>
        <v>0</v>
      </c>
      <c r="AJ98" s="191">
        <f t="shared" ca="1" si="28"/>
        <v>0</v>
      </c>
      <c r="AK98" s="168">
        <f>IF(D98&lt;&gt;D97,MAX(L$20:L97),AK97)</f>
        <v>0</v>
      </c>
      <c r="AL98" s="121" t="str">
        <f t="shared" si="37"/>
        <v>- -</v>
      </c>
      <c r="AM98" s="121">
        <f>MIN(K99:K$194)</f>
        <v>0</v>
      </c>
      <c r="AN98" s="352" t="str">
        <f t="shared" si="38"/>
        <v>- -</v>
      </c>
      <c r="AP98" s="352">
        <f t="shared" si="35"/>
        <v>999</v>
      </c>
      <c r="AQ98" s="143">
        <f t="shared" ca="1" si="29"/>
        <v>1</v>
      </c>
      <c r="AR98" s="143">
        <f t="shared" ca="1" si="30"/>
        <v>0</v>
      </c>
      <c r="AU98" s="281" t="str">
        <f>IF($C98=$AB$15,'NTS ONLY_set_year'!$E$143," ")&amp;$D98</f>
        <v xml:space="preserve"> </v>
      </c>
      <c r="AV98" s="121">
        <f t="shared" ca="1" si="40"/>
        <v>0</v>
      </c>
      <c r="AW98" s="198">
        <f t="shared" ca="1" si="22"/>
        <v>0</v>
      </c>
      <c r="BM98" s="352">
        <f t="shared" si="39"/>
        <v>1</v>
      </c>
      <c r="BN98" s="281">
        <f t="shared" si="39"/>
        <v>1</v>
      </c>
      <c r="BQ98" s="251"/>
      <c r="BR98" s="7"/>
      <c r="BS98" s="7"/>
      <c r="BT98" s="7"/>
      <c r="IU98" s="16"/>
    </row>
    <row r="99" spans="2:255" ht="13.2">
      <c r="B99" s="9">
        <v>80</v>
      </c>
      <c r="C99" s="17"/>
      <c r="D99" s="72"/>
      <c r="E99" s="76"/>
      <c r="F99" s="76"/>
      <c r="G99" s="76" t="str">
        <f ca="1">IF(ISBLANK(D99),IF(AND(ISNUMBER(D98),D98&lt;$AF$5),'NTS ONLY_set_year'!$E$62,"- -"),IF(D99&gt;$AF$5,$AG$5,IF(D99&gt;D98+1,$AG$6,IF(D99&lt;D98,$AG$7,Y99))))</f>
        <v>- -</v>
      </c>
      <c r="H99" s="532"/>
      <c r="I99" s="621"/>
      <c r="J99" s="534"/>
      <c r="K99" s="555"/>
      <c r="L99" s="556"/>
      <c r="M99" s="557" t="str">
        <f t="shared" si="23"/>
        <v/>
      </c>
      <c r="N99" s="558"/>
      <c r="O99" s="559"/>
      <c r="P99" s="560"/>
      <c r="Q99" s="559"/>
      <c r="R99" s="18" t="str">
        <f t="shared" si="31"/>
        <v/>
      </c>
      <c r="S99" s="36"/>
      <c r="T99" s="120" t="str">
        <f ca="1">INDEX('NTS ONLY_set_year'!E:E,MATCH(TEXT($X99,"Ddd"),'NTS ONLY_set_year'!C:C,0))</f>
        <v>Dim</v>
      </c>
      <c r="U99" s="186" t="str">
        <f t="shared" ca="1" si="32"/>
        <v>juin</v>
      </c>
      <c r="X99" s="347">
        <f t="shared" ca="1" si="36"/>
        <v>46173</v>
      </c>
      <c r="Y99" s="452" t="str">
        <f t="shared" ca="1" si="33"/>
        <v>Dim. juin , 2026</v>
      </c>
      <c r="Z99" s="143">
        <f t="shared" ca="1" si="24"/>
        <v>30</v>
      </c>
      <c r="AA99" s="348">
        <f t="shared" ca="1" si="25"/>
        <v>6</v>
      </c>
      <c r="AB99" s="168">
        <f t="shared" ca="1" si="34"/>
        <v>0</v>
      </c>
      <c r="AF99" s="349">
        <f t="shared" ca="1" si="26"/>
        <v>99</v>
      </c>
      <c r="AG99" s="350">
        <f ca="1">MIN(AF99:AF$195)</f>
        <v>99</v>
      </c>
      <c r="AH99" s="121" t="b">
        <f t="shared" si="27"/>
        <v>0</v>
      </c>
      <c r="AJ99" s="191">
        <f t="shared" ca="1" si="28"/>
        <v>0</v>
      </c>
      <c r="AK99" s="168">
        <f>IF(D99&lt;&gt;D98,MAX(L$20:L98),AK98)</f>
        <v>0</v>
      </c>
      <c r="AL99" s="121" t="str">
        <f t="shared" si="37"/>
        <v>- -</v>
      </c>
      <c r="AM99" s="121">
        <f>MIN(K100:K$194)</f>
        <v>0</v>
      </c>
      <c r="AN99" s="352" t="str">
        <f t="shared" si="38"/>
        <v>- -</v>
      </c>
      <c r="AP99" s="352">
        <f t="shared" si="35"/>
        <v>999</v>
      </c>
      <c r="AQ99" s="143">
        <f t="shared" ca="1" si="29"/>
        <v>1</v>
      </c>
      <c r="AR99" s="143">
        <f t="shared" ca="1" si="30"/>
        <v>0</v>
      </c>
      <c r="AU99" s="281" t="str">
        <f>IF($C99=$AB$15,'NTS ONLY_set_year'!$E$143," ")&amp;$D99</f>
        <v xml:space="preserve"> </v>
      </c>
      <c r="AV99" s="121">
        <f t="shared" ca="1" si="40"/>
        <v>0</v>
      </c>
      <c r="AW99" s="198">
        <f t="shared" ca="1" si="22"/>
        <v>0</v>
      </c>
      <c r="BM99" s="352">
        <f t="shared" si="39"/>
        <v>1</v>
      </c>
      <c r="BN99" s="281">
        <f t="shared" si="39"/>
        <v>1</v>
      </c>
      <c r="BQ99" s="251"/>
      <c r="BR99" s="7"/>
      <c r="BS99" s="7"/>
      <c r="BT99" s="7"/>
      <c r="IU99" s="16"/>
    </row>
    <row r="100" spans="2:255" ht="13.2">
      <c r="B100" s="9">
        <v>81</v>
      </c>
      <c r="C100" s="17"/>
      <c r="D100" s="72"/>
      <c r="E100" s="76"/>
      <c r="F100" s="76"/>
      <c r="G100" s="76" t="str">
        <f ca="1">IF(ISBLANK(D100),IF(AND(ISNUMBER(D99),D99&lt;$AF$5),'NTS ONLY_set_year'!$E$62,"- -"),IF(D100&gt;$AF$5,$AG$5,IF(D100&gt;D99+1,$AG$6,IF(D100&lt;D99,$AG$7,Y100))))</f>
        <v>- -</v>
      </c>
      <c r="H100" s="532"/>
      <c r="I100" s="621"/>
      <c r="J100" s="534"/>
      <c r="K100" s="555"/>
      <c r="L100" s="556"/>
      <c r="M100" s="557" t="str">
        <f t="shared" si="23"/>
        <v/>
      </c>
      <c r="N100" s="558"/>
      <c r="O100" s="559"/>
      <c r="P100" s="560"/>
      <c r="Q100" s="559"/>
      <c r="R100" s="18" t="str">
        <f t="shared" si="31"/>
        <v/>
      </c>
      <c r="S100" s="36"/>
      <c r="T100" s="120" t="str">
        <f ca="1">INDEX('NTS ONLY_set_year'!E:E,MATCH(TEXT($X100,"Ddd"),'NTS ONLY_set_year'!C:C,0))</f>
        <v>Dim</v>
      </c>
      <c r="U100" s="186" t="str">
        <f t="shared" ca="1" si="32"/>
        <v>juin</v>
      </c>
      <c r="X100" s="347">
        <f t="shared" ca="1" si="36"/>
        <v>46173</v>
      </c>
      <c r="Y100" s="452" t="str">
        <f t="shared" ca="1" si="33"/>
        <v>Dim. juin , 2026</v>
      </c>
      <c r="Z100" s="143">
        <f t="shared" ca="1" si="24"/>
        <v>30</v>
      </c>
      <c r="AA100" s="348">
        <f t="shared" ca="1" si="25"/>
        <v>6</v>
      </c>
      <c r="AB100" s="168">
        <f t="shared" ca="1" si="34"/>
        <v>0</v>
      </c>
      <c r="AF100" s="349">
        <f t="shared" ca="1" si="26"/>
        <v>99</v>
      </c>
      <c r="AG100" s="350">
        <f ca="1">MIN(AF100:AF$195)</f>
        <v>99</v>
      </c>
      <c r="AH100" s="121" t="b">
        <f t="shared" si="27"/>
        <v>0</v>
      </c>
      <c r="AJ100" s="191">
        <f t="shared" ca="1" si="28"/>
        <v>0</v>
      </c>
      <c r="AK100" s="168">
        <f>IF(D100&lt;&gt;D99,MAX(L$20:L99),AK99)</f>
        <v>0</v>
      </c>
      <c r="AL100" s="121" t="str">
        <f t="shared" si="37"/>
        <v>- -</v>
      </c>
      <c r="AM100" s="121">
        <f>MIN(K101:K$194)</f>
        <v>0</v>
      </c>
      <c r="AN100" s="352" t="str">
        <f t="shared" si="38"/>
        <v>- -</v>
      </c>
      <c r="AP100" s="352">
        <f t="shared" si="35"/>
        <v>999</v>
      </c>
      <c r="AQ100" s="143">
        <f t="shared" ca="1" si="29"/>
        <v>1</v>
      </c>
      <c r="AR100" s="143">
        <f t="shared" ca="1" si="30"/>
        <v>0</v>
      </c>
      <c r="AU100" s="281" t="str">
        <f>IF($C100=$AB$15,'NTS ONLY_set_year'!$E$143," ")&amp;$D100</f>
        <v xml:space="preserve"> </v>
      </c>
      <c r="AV100" s="121">
        <f t="shared" ca="1" si="40"/>
        <v>0</v>
      </c>
      <c r="AW100" s="198">
        <f t="shared" ca="1" si="22"/>
        <v>0</v>
      </c>
      <c r="BM100" s="352">
        <f t="shared" si="39"/>
        <v>1</v>
      </c>
      <c r="BN100" s="281">
        <f t="shared" si="39"/>
        <v>1</v>
      </c>
      <c r="BQ100" s="251"/>
      <c r="BR100" s="7"/>
      <c r="BS100" s="7"/>
      <c r="BT100" s="7"/>
      <c r="IU100" s="16"/>
    </row>
    <row r="101" spans="2:255" ht="13.2">
      <c r="B101" s="9">
        <v>82</v>
      </c>
      <c r="C101" s="17"/>
      <c r="D101" s="72"/>
      <c r="E101" s="76"/>
      <c r="F101" s="76"/>
      <c r="G101" s="76" t="str">
        <f ca="1">IF(ISBLANK(D101),IF(AND(ISNUMBER(D100),D100&lt;$AF$5),'NTS ONLY_set_year'!$E$62,"- -"),IF(D101&gt;$AF$5,$AG$5,IF(D101&gt;D100+1,$AG$6,IF(D101&lt;D100,$AG$7,Y101))))</f>
        <v>- -</v>
      </c>
      <c r="H101" s="532"/>
      <c r="I101" s="621"/>
      <c r="J101" s="534"/>
      <c r="K101" s="555"/>
      <c r="L101" s="556"/>
      <c r="M101" s="557" t="str">
        <f t="shared" si="23"/>
        <v/>
      </c>
      <c r="N101" s="558"/>
      <c r="O101" s="559"/>
      <c r="P101" s="560"/>
      <c r="Q101" s="559"/>
      <c r="R101" s="18" t="str">
        <f t="shared" si="31"/>
        <v/>
      </c>
      <c r="S101" s="36"/>
      <c r="T101" s="120" t="str">
        <f ca="1">INDEX('NTS ONLY_set_year'!E:E,MATCH(TEXT($X101,"Ddd"),'NTS ONLY_set_year'!C:C,0))</f>
        <v>Dim</v>
      </c>
      <c r="U101" s="186" t="str">
        <f t="shared" ca="1" si="32"/>
        <v>juin</v>
      </c>
      <c r="X101" s="347">
        <f t="shared" ca="1" si="36"/>
        <v>46173</v>
      </c>
      <c r="Y101" s="452" t="str">
        <f t="shared" ca="1" si="33"/>
        <v>Dim. juin , 2026</v>
      </c>
      <c r="Z101" s="143">
        <f t="shared" ca="1" si="24"/>
        <v>30</v>
      </c>
      <c r="AA101" s="348">
        <f t="shared" ca="1" si="25"/>
        <v>6</v>
      </c>
      <c r="AB101" s="168">
        <f t="shared" ca="1" si="34"/>
        <v>0</v>
      </c>
      <c r="AF101" s="349">
        <f t="shared" ca="1" si="26"/>
        <v>99</v>
      </c>
      <c r="AG101" s="350">
        <f ca="1">MIN(AF101:AF$195)</f>
        <v>99</v>
      </c>
      <c r="AH101" s="121" t="b">
        <f t="shared" si="27"/>
        <v>0</v>
      </c>
      <c r="AJ101" s="191">
        <f t="shared" ca="1" si="28"/>
        <v>0</v>
      </c>
      <c r="AK101" s="168">
        <f>IF(D101&lt;&gt;D100,MAX(L$20:L100),AK100)</f>
        <v>0</v>
      </c>
      <c r="AL101" s="121" t="str">
        <f t="shared" si="37"/>
        <v>- -</v>
      </c>
      <c r="AM101" s="121">
        <f>MIN(K102:K$194)</f>
        <v>0</v>
      </c>
      <c r="AN101" s="352" t="str">
        <f t="shared" si="38"/>
        <v>- -</v>
      </c>
      <c r="AP101" s="352">
        <f t="shared" si="35"/>
        <v>999</v>
      </c>
      <c r="AQ101" s="143">
        <f t="shared" ca="1" si="29"/>
        <v>1</v>
      </c>
      <c r="AR101" s="143">
        <f t="shared" ca="1" si="30"/>
        <v>0</v>
      </c>
      <c r="AU101" s="281" t="str">
        <f>IF($C101=$AB$15,'NTS ONLY_set_year'!$E$143," ")&amp;$D101</f>
        <v xml:space="preserve"> </v>
      </c>
      <c r="AV101" s="121">
        <f t="shared" ca="1" si="40"/>
        <v>0</v>
      </c>
      <c r="AW101" s="198">
        <f t="shared" ca="1" si="22"/>
        <v>0</v>
      </c>
      <c r="BM101" s="352">
        <f t="shared" si="39"/>
        <v>1</v>
      </c>
      <c r="BN101" s="281">
        <f t="shared" si="39"/>
        <v>1</v>
      </c>
      <c r="BQ101" s="251"/>
      <c r="BR101" s="7"/>
      <c r="BS101" s="7"/>
      <c r="BT101" s="7"/>
      <c r="IU101" s="16"/>
    </row>
    <row r="102" spans="2:255" ht="13.2">
      <c r="B102" s="9">
        <v>83</v>
      </c>
      <c r="C102" s="17"/>
      <c r="D102" s="72"/>
      <c r="E102" s="76"/>
      <c r="F102" s="76"/>
      <c r="G102" s="76" t="str">
        <f ca="1">IF(ISBLANK(D102),IF(AND(ISNUMBER(D101),D101&lt;$AF$5),'NTS ONLY_set_year'!$E$62,"- -"),IF(D102&gt;$AF$5,$AG$5,IF(D102&gt;D101+1,$AG$6,IF(D102&lt;D101,$AG$7,Y102))))</f>
        <v>- -</v>
      </c>
      <c r="H102" s="532"/>
      <c r="I102" s="621"/>
      <c r="J102" s="534"/>
      <c r="K102" s="555"/>
      <c r="L102" s="556"/>
      <c r="M102" s="557" t="str">
        <f t="shared" si="23"/>
        <v/>
      </c>
      <c r="N102" s="558"/>
      <c r="O102" s="559"/>
      <c r="P102" s="560"/>
      <c r="Q102" s="559"/>
      <c r="R102" s="18" t="str">
        <f t="shared" si="31"/>
        <v/>
      </c>
      <c r="S102" s="36"/>
      <c r="T102" s="120" t="str">
        <f ca="1">INDEX('NTS ONLY_set_year'!E:E,MATCH(TEXT($X102,"Ddd"),'NTS ONLY_set_year'!C:C,0))</f>
        <v>Dim</v>
      </c>
      <c r="U102" s="186" t="str">
        <f t="shared" ca="1" si="32"/>
        <v>juin</v>
      </c>
      <c r="X102" s="347">
        <f t="shared" ca="1" si="36"/>
        <v>46173</v>
      </c>
      <c r="Y102" s="452" t="str">
        <f t="shared" ca="1" si="33"/>
        <v>Dim. juin , 2026</v>
      </c>
      <c r="Z102" s="143">
        <f t="shared" ca="1" si="24"/>
        <v>30</v>
      </c>
      <c r="AA102" s="348">
        <f t="shared" ca="1" si="25"/>
        <v>6</v>
      </c>
      <c r="AB102" s="168">
        <f t="shared" ca="1" si="34"/>
        <v>0</v>
      </c>
      <c r="AF102" s="349">
        <f t="shared" ca="1" si="26"/>
        <v>99</v>
      </c>
      <c r="AG102" s="350">
        <f ca="1">MIN(AF102:AF$195)</f>
        <v>99</v>
      </c>
      <c r="AH102" s="121" t="b">
        <f t="shared" si="27"/>
        <v>0</v>
      </c>
      <c r="AJ102" s="191">
        <f t="shared" ca="1" si="28"/>
        <v>0</v>
      </c>
      <c r="AK102" s="168">
        <f>IF(D102&lt;&gt;D101,MAX(L$20:L101),AK101)</f>
        <v>0</v>
      </c>
      <c r="AL102" s="121" t="str">
        <f t="shared" si="37"/>
        <v>- -</v>
      </c>
      <c r="AM102" s="121">
        <f>MIN(K103:K$194)</f>
        <v>0</v>
      </c>
      <c r="AN102" s="352" t="str">
        <f t="shared" si="38"/>
        <v>- -</v>
      </c>
      <c r="AP102" s="352">
        <f t="shared" si="35"/>
        <v>999</v>
      </c>
      <c r="AQ102" s="143">
        <f t="shared" ca="1" si="29"/>
        <v>1</v>
      </c>
      <c r="AR102" s="143">
        <f t="shared" ca="1" si="30"/>
        <v>0</v>
      </c>
      <c r="AU102" s="281" t="str">
        <f>IF($C102=$AB$15,'NTS ONLY_set_year'!$E$143," ")&amp;$D102</f>
        <v xml:space="preserve"> </v>
      </c>
      <c r="AV102" s="121">
        <f t="shared" ca="1" si="40"/>
        <v>0</v>
      </c>
      <c r="AW102" s="198">
        <f t="shared" ca="1" si="22"/>
        <v>0</v>
      </c>
      <c r="BM102" s="352">
        <f t="shared" si="39"/>
        <v>1</v>
      </c>
      <c r="BN102" s="281">
        <f t="shared" si="39"/>
        <v>1</v>
      </c>
      <c r="BQ102" s="251"/>
      <c r="BR102" s="7"/>
      <c r="BS102" s="7"/>
      <c r="BT102" s="7"/>
      <c r="IU102" s="16"/>
    </row>
    <row r="103" spans="2:255" ht="13.2">
      <c r="B103" s="9">
        <v>84</v>
      </c>
      <c r="C103" s="17"/>
      <c r="D103" s="72"/>
      <c r="E103" s="76"/>
      <c r="F103" s="76"/>
      <c r="G103" s="76" t="str">
        <f ca="1">IF(ISBLANK(D103),IF(AND(ISNUMBER(D102),D102&lt;$AF$5),'NTS ONLY_set_year'!$E$62,"- -"),IF(D103&gt;$AF$5,$AG$5,IF(D103&gt;D102+1,$AG$6,IF(D103&lt;D102,$AG$7,Y103))))</f>
        <v>- -</v>
      </c>
      <c r="H103" s="532"/>
      <c r="I103" s="621"/>
      <c r="J103" s="534"/>
      <c r="K103" s="555"/>
      <c r="L103" s="556"/>
      <c r="M103" s="557" t="str">
        <f t="shared" si="23"/>
        <v/>
      </c>
      <c r="N103" s="558"/>
      <c r="O103" s="559"/>
      <c r="P103" s="560"/>
      <c r="Q103" s="559"/>
      <c r="R103" s="18" t="str">
        <f t="shared" si="31"/>
        <v/>
      </c>
      <c r="S103" s="36"/>
      <c r="T103" s="120" t="str">
        <f ca="1">INDEX('NTS ONLY_set_year'!E:E,MATCH(TEXT($X103,"Ddd"),'NTS ONLY_set_year'!C:C,0))</f>
        <v>Dim</v>
      </c>
      <c r="U103" s="186" t="str">
        <f t="shared" ca="1" si="32"/>
        <v>juin</v>
      </c>
      <c r="X103" s="347">
        <f t="shared" ca="1" si="36"/>
        <v>46173</v>
      </c>
      <c r="Y103" s="452" t="str">
        <f t="shared" ca="1" si="33"/>
        <v>Dim. juin , 2026</v>
      </c>
      <c r="Z103" s="143">
        <f t="shared" ca="1" si="24"/>
        <v>30</v>
      </c>
      <c r="AA103" s="348">
        <f t="shared" ca="1" si="25"/>
        <v>6</v>
      </c>
      <c r="AB103" s="168">
        <f t="shared" ca="1" si="34"/>
        <v>0</v>
      </c>
      <c r="AF103" s="349">
        <f t="shared" ca="1" si="26"/>
        <v>99</v>
      </c>
      <c r="AG103" s="350">
        <f ca="1">MIN(AF103:AF$195)</f>
        <v>99</v>
      </c>
      <c r="AH103" s="121" t="b">
        <f t="shared" si="27"/>
        <v>0</v>
      </c>
      <c r="AJ103" s="191">
        <f t="shared" ca="1" si="28"/>
        <v>0</v>
      </c>
      <c r="AK103" s="168">
        <f>IF(D103&lt;&gt;D102,MAX(L$20:L102),AK102)</f>
        <v>0</v>
      </c>
      <c r="AL103" s="121" t="str">
        <f t="shared" si="37"/>
        <v>- -</v>
      </c>
      <c r="AM103" s="121">
        <f>MIN(K104:K$194)</f>
        <v>0</v>
      </c>
      <c r="AN103" s="352" t="str">
        <f t="shared" si="38"/>
        <v>- -</v>
      </c>
      <c r="AP103" s="352">
        <f t="shared" si="35"/>
        <v>999</v>
      </c>
      <c r="AQ103" s="143">
        <f t="shared" ca="1" si="29"/>
        <v>1</v>
      </c>
      <c r="AR103" s="143">
        <f t="shared" ca="1" si="30"/>
        <v>0</v>
      </c>
      <c r="AU103" s="281" t="str">
        <f>IF($C103=$AB$15,'NTS ONLY_set_year'!$E$143," ")&amp;$D103</f>
        <v xml:space="preserve"> </v>
      </c>
      <c r="AV103" s="121">
        <f t="shared" ca="1" si="40"/>
        <v>0</v>
      </c>
      <c r="AW103" s="198">
        <f t="shared" ref="AW103:AW166" ca="1" si="41">IF(OR(D103&gt;$AF$5,D103&lt;1),0,1-AV103)</f>
        <v>0</v>
      </c>
      <c r="BM103" s="352">
        <f t="shared" si="39"/>
        <v>1</v>
      </c>
      <c r="BN103" s="281">
        <f t="shared" si="39"/>
        <v>1</v>
      </c>
      <c r="BQ103" s="251"/>
      <c r="BR103" s="7"/>
      <c r="BS103" s="7"/>
      <c r="BT103" s="7"/>
      <c r="IU103" s="16"/>
    </row>
    <row r="104" spans="2:255" ht="13.2">
      <c r="B104" s="9">
        <v>85</v>
      </c>
      <c r="C104" s="17"/>
      <c r="D104" s="72"/>
      <c r="E104" s="76"/>
      <c r="F104" s="76"/>
      <c r="G104" s="76" t="str">
        <f ca="1">IF(ISBLANK(D104),IF(AND(ISNUMBER(D103),D103&lt;$AF$5),'NTS ONLY_set_year'!$E$62,"- -"),IF(D104&gt;$AF$5,$AG$5,IF(D104&gt;D103+1,$AG$6,IF(D104&lt;D103,$AG$7,Y104))))</f>
        <v>- -</v>
      </c>
      <c r="H104" s="532"/>
      <c r="I104" s="621"/>
      <c r="J104" s="534"/>
      <c r="K104" s="555"/>
      <c r="L104" s="556"/>
      <c r="M104" s="557" t="str">
        <f t="shared" si="23"/>
        <v/>
      </c>
      <c r="N104" s="558"/>
      <c r="O104" s="559"/>
      <c r="P104" s="560"/>
      <c r="Q104" s="559"/>
      <c r="R104" s="18" t="str">
        <f t="shared" si="31"/>
        <v/>
      </c>
      <c r="S104" s="36"/>
      <c r="T104" s="120" t="str">
        <f ca="1">INDEX('NTS ONLY_set_year'!E:E,MATCH(TEXT($X104,"Ddd"),'NTS ONLY_set_year'!C:C,0))</f>
        <v>Dim</v>
      </c>
      <c r="U104" s="186" t="str">
        <f t="shared" ca="1" si="32"/>
        <v>juin</v>
      </c>
      <c r="X104" s="347">
        <f t="shared" ca="1" si="36"/>
        <v>46173</v>
      </c>
      <c r="Y104" s="452" t="str">
        <f t="shared" ca="1" si="33"/>
        <v>Dim. juin , 2026</v>
      </c>
      <c r="Z104" s="143">
        <f t="shared" ca="1" si="24"/>
        <v>30</v>
      </c>
      <c r="AA104" s="348">
        <f t="shared" ca="1" si="25"/>
        <v>6</v>
      </c>
      <c r="AB104" s="168">
        <f t="shared" ca="1" si="34"/>
        <v>0</v>
      </c>
      <c r="AF104" s="349">
        <f t="shared" ca="1" si="26"/>
        <v>99</v>
      </c>
      <c r="AG104" s="350">
        <f ca="1">MIN(AF104:AF$195)</f>
        <v>99</v>
      </c>
      <c r="AH104" s="121" t="b">
        <f t="shared" si="27"/>
        <v>0</v>
      </c>
      <c r="AJ104" s="191">
        <f t="shared" ca="1" si="28"/>
        <v>0</v>
      </c>
      <c r="AK104" s="168">
        <f>IF(D104&lt;&gt;D103,MAX(L$20:L103),AK103)</f>
        <v>0</v>
      </c>
      <c r="AL104" s="121" t="str">
        <f t="shared" si="37"/>
        <v>- -</v>
      </c>
      <c r="AM104" s="121">
        <f>MIN(K105:K$194)</f>
        <v>0</v>
      </c>
      <c r="AN104" s="352" t="str">
        <f t="shared" si="38"/>
        <v>- -</v>
      </c>
      <c r="AP104" s="352">
        <f t="shared" si="35"/>
        <v>999</v>
      </c>
      <c r="AQ104" s="143">
        <f t="shared" ca="1" si="29"/>
        <v>1</v>
      </c>
      <c r="AR104" s="143">
        <f t="shared" ca="1" si="30"/>
        <v>0</v>
      </c>
      <c r="AU104" s="281" t="str">
        <f>IF($C104=$AB$15,'NTS ONLY_set_year'!$E$143," ")&amp;$D104</f>
        <v xml:space="preserve"> </v>
      </c>
      <c r="AV104" s="121">
        <f t="shared" ca="1" si="40"/>
        <v>0</v>
      </c>
      <c r="AW104" s="198">
        <f t="shared" ca="1" si="41"/>
        <v>0</v>
      </c>
      <c r="BM104" s="352">
        <f t="shared" si="39"/>
        <v>1</v>
      </c>
      <c r="BN104" s="281">
        <f t="shared" si="39"/>
        <v>1</v>
      </c>
      <c r="BQ104" s="251"/>
      <c r="BR104" s="7"/>
      <c r="BS104" s="7"/>
      <c r="BT104" s="7"/>
      <c r="IU104" s="16"/>
    </row>
    <row r="105" spans="2:255" ht="13.2">
      <c r="B105" s="9">
        <v>86</v>
      </c>
      <c r="C105" s="17"/>
      <c r="D105" s="72"/>
      <c r="E105" s="76"/>
      <c r="F105" s="76"/>
      <c r="G105" s="76" t="str">
        <f ca="1">IF(ISBLANK(D105),IF(AND(ISNUMBER(D104),D104&lt;$AF$5),'NTS ONLY_set_year'!$E$62,"- -"),IF(D105&gt;$AF$5,$AG$5,IF(D105&gt;D104+1,$AG$6,IF(D105&lt;D104,$AG$7,Y105))))</f>
        <v>- -</v>
      </c>
      <c r="H105" s="532"/>
      <c r="I105" s="621"/>
      <c r="J105" s="534"/>
      <c r="K105" s="555"/>
      <c r="L105" s="556"/>
      <c r="M105" s="557" t="str">
        <f t="shared" si="23"/>
        <v/>
      </c>
      <c r="N105" s="558"/>
      <c r="O105" s="559"/>
      <c r="P105" s="560"/>
      <c r="Q105" s="559"/>
      <c r="R105" s="18" t="str">
        <f t="shared" si="31"/>
        <v/>
      </c>
      <c r="S105" s="36"/>
      <c r="T105" s="120" t="str">
        <f ca="1">INDEX('NTS ONLY_set_year'!E:E,MATCH(TEXT($X105,"Ddd"),'NTS ONLY_set_year'!C:C,0))</f>
        <v>Dim</v>
      </c>
      <c r="U105" s="186" t="str">
        <f t="shared" ca="1" si="32"/>
        <v>juin</v>
      </c>
      <c r="X105" s="347">
        <f t="shared" ca="1" si="36"/>
        <v>46173</v>
      </c>
      <c r="Y105" s="452" t="str">
        <f t="shared" ca="1" si="33"/>
        <v>Dim. juin , 2026</v>
      </c>
      <c r="Z105" s="143">
        <f t="shared" ca="1" si="24"/>
        <v>30</v>
      </c>
      <c r="AA105" s="348">
        <f t="shared" ca="1" si="25"/>
        <v>6</v>
      </c>
      <c r="AB105" s="168">
        <f t="shared" ca="1" si="34"/>
        <v>0</v>
      </c>
      <c r="AF105" s="349">
        <f t="shared" ca="1" si="26"/>
        <v>99</v>
      </c>
      <c r="AG105" s="350">
        <f ca="1">MIN(AF105:AF$195)</f>
        <v>99</v>
      </c>
      <c r="AH105" s="121" t="b">
        <f t="shared" si="27"/>
        <v>0</v>
      </c>
      <c r="AJ105" s="191">
        <f t="shared" ca="1" si="28"/>
        <v>0</v>
      </c>
      <c r="AK105" s="168">
        <f>IF(D105&lt;&gt;D104,MAX(L$20:L104),AK104)</f>
        <v>0</v>
      </c>
      <c r="AL105" s="121" t="str">
        <f t="shared" si="37"/>
        <v>- -</v>
      </c>
      <c r="AM105" s="121">
        <f>MIN(K106:K$194)</f>
        <v>0</v>
      </c>
      <c r="AN105" s="352" t="str">
        <f t="shared" si="38"/>
        <v>- -</v>
      </c>
      <c r="AP105" s="352">
        <f t="shared" si="35"/>
        <v>999</v>
      </c>
      <c r="AQ105" s="143">
        <f t="shared" ca="1" si="29"/>
        <v>1</v>
      </c>
      <c r="AR105" s="143">
        <f t="shared" ca="1" si="30"/>
        <v>0</v>
      </c>
      <c r="AU105" s="281" t="str">
        <f>IF($C105=$AB$15,'NTS ONLY_set_year'!$E$143," ")&amp;$D105</f>
        <v xml:space="preserve"> </v>
      </c>
      <c r="AV105" s="121">
        <f t="shared" ca="1" si="40"/>
        <v>0</v>
      </c>
      <c r="AW105" s="198">
        <f t="shared" ca="1" si="41"/>
        <v>0</v>
      </c>
      <c r="BM105" s="352">
        <f t="shared" si="39"/>
        <v>1</v>
      </c>
      <c r="BN105" s="281">
        <f t="shared" si="39"/>
        <v>1</v>
      </c>
      <c r="BQ105" s="251"/>
      <c r="BR105" s="7"/>
      <c r="BS105" s="7"/>
      <c r="BT105" s="7"/>
      <c r="IU105" s="16"/>
    </row>
    <row r="106" spans="2:255" ht="13.2">
      <c r="B106" s="9">
        <v>87</v>
      </c>
      <c r="C106" s="17"/>
      <c r="D106" s="72"/>
      <c r="E106" s="76"/>
      <c r="F106" s="76"/>
      <c r="G106" s="76" t="str">
        <f ca="1">IF(ISBLANK(D106),IF(AND(ISNUMBER(D105),D105&lt;$AF$5),'NTS ONLY_set_year'!$E$62,"- -"),IF(D106&gt;$AF$5,$AG$5,IF(D106&gt;D105+1,$AG$6,IF(D106&lt;D105,$AG$7,Y106))))</f>
        <v>- -</v>
      </c>
      <c r="H106" s="532"/>
      <c r="I106" s="621"/>
      <c r="J106" s="534"/>
      <c r="K106" s="555"/>
      <c r="L106" s="556"/>
      <c r="M106" s="557" t="str">
        <f t="shared" si="23"/>
        <v/>
      </c>
      <c r="N106" s="558"/>
      <c r="O106" s="559"/>
      <c r="P106" s="560"/>
      <c r="Q106" s="559"/>
      <c r="R106" s="18" t="str">
        <f t="shared" si="31"/>
        <v/>
      </c>
      <c r="S106" s="36"/>
      <c r="T106" s="120" t="str">
        <f ca="1">INDEX('NTS ONLY_set_year'!E:E,MATCH(TEXT($X106,"Ddd"),'NTS ONLY_set_year'!C:C,0))</f>
        <v>Dim</v>
      </c>
      <c r="U106" s="186" t="str">
        <f t="shared" ca="1" si="32"/>
        <v>juin</v>
      </c>
      <c r="X106" s="347">
        <f t="shared" ca="1" si="36"/>
        <v>46173</v>
      </c>
      <c r="Y106" s="452" t="str">
        <f t="shared" ca="1" si="33"/>
        <v>Dim. juin , 2026</v>
      </c>
      <c r="Z106" s="143">
        <f t="shared" ca="1" si="24"/>
        <v>30</v>
      </c>
      <c r="AA106" s="348">
        <f t="shared" ca="1" si="25"/>
        <v>6</v>
      </c>
      <c r="AB106" s="168">
        <f t="shared" ca="1" si="34"/>
        <v>0</v>
      </c>
      <c r="AF106" s="349">
        <f t="shared" ca="1" si="26"/>
        <v>99</v>
      </c>
      <c r="AG106" s="350">
        <f ca="1">MIN(AF106:AF$195)</f>
        <v>99</v>
      </c>
      <c r="AH106" s="121" t="b">
        <f t="shared" si="27"/>
        <v>0</v>
      </c>
      <c r="AJ106" s="191">
        <f t="shared" ca="1" si="28"/>
        <v>0</v>
      </c>
      <c r="AK106" s="168">
        <f>IF(D106&lt;&gt;D105,MAX(L$20:L105),AK105)</f>
        <v>0</v>
      </c>
      <c r="AL106" s="121" t="str">
        <f t="shared" si="37"/>
        <v>- -</v>
      </c>
      <c r="AM106" s="121">
        <f>MIN(K107:K$194)</f>
        <v>0</v>
      </c>
      <c r="AN106" s="352" t="str">
        <f t="shared" si="38"/>
        <v>- -</v>
      </c>
      <c r="AP106" s="352">
        <f t="shared" si="35"/>
        <v>999</v>
      </c>
      <c r="AQ106" s="143">
        <f t="shared" ca="1" si="29"/>
        <v>1</v>
      </c>
      <c r="AR106" s="143">
        <f t="shared" ca="1" si="30"/>
        <v>0</v>
      </c>
      <c r="AU106" s="281" t="str">
        <f>IF($C106=$AB$15,'NTS ONLY_set_year'!$E$143," ")&amp;$D106</f>
        <v xml:space="preserve"> </v>
      </c>
      <c r="AV106" s="121">
        <f t="shared" ca="1" si="40"/>
        <v>0</v>
      </c>
      <c r="AW106" s="198">
        <f t="shared" ca="1" si="41"/>
        <v>0</v>
      </c>
      <c r="BM106" s="352">
        <f t="shared" si="39"/>
        <v>1</v>
      </c>
      <c r="BN106" s="281">
        <f t="shared" si="39"/>
        <v>1</v>
      </c>
      <c r="BQ106" s="251"/>
      <c r="BR106" s="7"/>
      <c r="BS106" s="7"/>
      <c r="BT106" s="7"/>
      <c r="IU106" s="16"/>
    </row>
    <row r="107" spans="2:255" ht="13.2">
      <c r="B107" s="9">
        <v>88</v>
      </c>
      <c r="C107" s="17"/>
      <c r="D107" s="72"/>
      <c r="E107" s="76"/>
      <c r="F107" s="76"/>
      <c r="G107" s="76" t="str">
        <f ca="1">IF(ISBLANK(D107),IF(AND(ISNUMBER(D106),D106&lt;$AF$5),'NTS ONLY_set_year'!$E$62,"- -"),IF(D107&gt;$AF$5,$AG$5,IF(D107&gt;D106+1,$AG$6,IF(D107&lt;D106,$AG$7,Y107))))</f>
        <v>- -</v>
      </c>
      <c r="H107" s="532"/>
      <c r="I107" s="621"/>
      <c r="J107" s="534"/>
      <c r="K107" s="555"/>
      <c r="L107" s="556"/>
      <c r="M107" s="557" t="str">
        <f t="shared" si="23"/>
        <v/>
      </c>
      <c r="N107" s="558"/>
      <c r="O107" s="559"/>
      <c r="P107" s="560"/>
      <c r="Q107" s="559"/>
      <c r="R107" s="18" t="str">
        <f t="shared" si="31"/>
        <v/>
      </c>
      <c r="S107" s="36"/>
      <c r="T107" s="120" t="str">
        <f ca="1">INDEX('NTS ONLY_set_year'!E:E,MATCH(TEXT($X107,"Ddd"),'NTS ONLY_set_year'!C:C,0))</f>
        <v>Dim</v>
      </c>
      <c r="U107" s="186" t="str">
        <f t="shared" ca="1" si="32"/>
        <v>juin</v>
      </c>
      <c r="X107" s="347">
        <f t="shared" ca="1" si="36"/>
        <v>46173</v>
      </c>
      <c r="Y107" s="452" t="str">
        <f t="shared" ca="1" si="33"/>
        <v>Dim. juin , 2026</v>
      </c>
      <c r="Z107" s="143">
        <f t="shared" ca="1" si="24"/>
        <v>30</v>
      </c>
      <c r="AA107" s="348">
        <f t="shared" ca="1" si="25"/>
        <v>6</v>
      </c>
      <c r="AB107" s="168">
        <f t="shared" ca="1" si="34"/>
        <v>0</v>
      </c>
      <c r="AF107" s="349">
        <f t="shared" ca="1" si="26"/>
        <v>99</v>
      </c>
      <c r="AG107" s="350">
        <f ca="1">MIN(AF107:AF$195)</f>
        <v>99</v>
      </c>
      <c r="AH107" s="121" t="b">
        <f t="shared" si="27"/>
        <v>0</v>
      </c>
      <c r="AJ107" s="191">
        <f t="shared" ca="1" si="28"/>
        <v>0</v>
      </c>
      <c r="AK107" s="168">
        <f>IF(D107&lt;&gt;D106,MAX(L$20:L106),AK106)</f>
        <v>0</v>
      </c>
      <c r="AL107" s="121" t="str">
        <f t="shared" si="37"/>
        <v>- -</v>
      </c>
      <c r="AM107" s="121">
        <f>MIN(K108:K$194)</f>
        <v>0</v>
      </c>
      <c r="AN107" s="352" t="str">
        <f t="shared" si="38"/>
        <v>- -</v>
      </c>
      <c r="AP107" s="352">
        <f t="shared" si="35"/>
        <v>999</v>
      </c>
      <c r="AQ107" s="143">
        <f t="shared" ca="1" si="29"/>
        <v>1</v>
      </c>
      <c r="AR107" s="143">
        <f t="shared" ca="1" si="30"/>
        <v>0</v>
      </c>
      <c r="AU107" s="281" t="str">
        <f>IF($C107=$AB$15,'NTS ONLY_set_year'!$E$143," ")&amp;$D107</f>
        <v xml:space="preserve"> </v>
      </c>
      <c r="AV107" s="121">
        <f t="shared" ca="1" si="40"/>
        <v>0</v>
      </c>
      <c r="AW107" s="198">
        <f t="shared" ca="1" si="41"/>
        <v>0</v>
      </c>
      <c r="BM107" s="352">
        <f t="shared" si="39"/>
        <v>1</v>
      </c>
      <c r="BN107" s="281">
        <f t="shared" si="39"/>
        <v>1</v>
      </c>
      <c r="BQ107" s="251"/>
      <c r="BR107" s="7"/>
      <c r="BS107" s="7"/>
      <c r="BT107" s="7"/>
      <c r="IU107" s="16"/>
    </row>
    <row r="108" spans="2:255" ht="13.2">
      <c r="B108" s="9">
        <v>89</v>
      </c>
      <c r="C108" s="17"/>
      <c r="D108" s="72"/>
      <c r="E108" s="76"/>
      <c r="F108" s="76"/>
      <c r="G108" s="76" t="str">
        <f ca="1">IF(ISBLANK(D108),IF(AND(ISNUMBER(D107),D107&lt;$AF$5),'NTS ONLY_set_year'!$E$62,"- -"),IF(D108&gt;$AF$5,$AG$5,IF(D108&gt;D107+1,$AG$6,IF(D108&lt;D107,$AG$7,Y108))))</f>
        <v>- -</v>
      </c>
      <c r="H108" s="532"/>
      <c r="I108" s="621"/>
      <c r="J108" s="534"/>
      <c r="K108" s="555"/>
      <c r="L108" s="556"/>
      <c r="M108" s="557" t="str">
        <f t="shared" si="23"/>
        <v/>
      </c>
      <c r="N108" s="558"/>
      <c r="O108" s="559"/>
      <c r="P108" s="560"/>
      <c r="Q108" s="559"/>
      <c r="R108" s="18" t="str">
        <f t="shared" si="31"/>
        <v/>
      </c>
      <c r="S108" s="36"/>
      <c r="T108" s="120" t="str">
        <f ca="1">INDEX('NTS ONLY_set_year'!E:E,MATCH(TEXT($X108,"Ddd"),'NTS ONLY_set_year'!C:C,0))</f>
        <v>Dim</v>
      </c>
      <c r="U108" s="186" t="str">
        <f t="shared" ca="1" si="32"/>
        <v>juin</v>
      </c>
      <c r="X108" s="347">
        <f t="shared" ca="1" si="36"/>
        <v>46173</v>
      </c>
      <c r="Y108" s="452" t="str">
        <f t="shared" ca="1" si="33"/>
        <v>Dim. juin , 2026</v>
      </c>
      <c r="Z108" s="143">
        <f t="shared" ca="1" si="24"/>
        <v>30</v>
      </c>
      <c r="AA108" s="348">
        <f t="shared" ca="1" si="25"/>
        <v>6</v>
      </c>
      <c r="AB108" s="168">
        <f t="shared" ca="1" si="34"/>
        <v>0</v>
      </c>
      <c r="AF108" s="349">
        <f t="shared" ca="1" si="26"/>
        <v>99</v>
      </c>
      <c r="AG108" s="350">
        <f ca="1">MIN(AF108:AF$195)</f>
        <v>99</v>
      </c>
      <c r="AH108" s="121" t="b">
        <f t="shared" si="27"/>
        <v>0</v>
      </c>
      <c r="AJ108" s="191">
        <f t="shared" ca="1" si="28"/>
        <v>0</v>
      </c>
      <c r="AK108" s="168">
        <f>IF(D108&lt;&gt;D107,MAX(L$20:L107),AK107)</f>
        <v>0</v>
      </c>
      <c r="AL108" s="121" t="str">
        <f t="shared" si="37"/>
        <v>- -</v>
      </c>
      <c r="AM108" s="121">
        <f>MIN(K109:K$194)</f>
        <v>0</v>
      </c>
      <c r="AN108" s="352" t="str">
        <f t="shared" si="38"/>
        <v>- -</v>
      </c>
      <c r="AP108" s="352">
        <f t="shared" si="35"/>
        <v>999</v>
      </c>
      <c r="AQ108" s="143">
        <f t="shared" ca="1" si="29"/>
        <v>1</v>
      </c>
      <c r="AR108" s="143">
        <f t="shared" ca="1" si="30"/>
        <v>0</v>
      </c>
      <c r="AU108" s="281" t="str">
        <f>IF($C108=$AB$15,'NTS ONLY_set_year'!$E$143," ")&amp;$D108</f>
        <v xml:space="preserve"> </v>
      </c>
      <c r="AV108" s="121">
        <f t="shared" ca="1" si="40"/>
        <v>0</v>
      </c>
      <c r="AW108" s="198">
        <f t="shared" ca="1" si="41"/>
        <v>0</v>
      </c>
      <c r="BM108" s="352">
        <f t="shared" si="39"/>
        <v>1</v>
      </c>
      <c r="BN108" s="281">
        <f t="shared" si="39"/>
        <v>1</v>
      </c>
      <c r="BQ108" s="251"/>
      <c r="BR108" s="7"/>
      <c r="BS108" s="7"/>
      <c r="BT108" s="7"/>
      <c r="IU108" s="16"/>
    </row>
    <row r="109" spans="2:255" ht="13.2">
      <c r="B109" s="9">
        <v>90</v>
      </c>
      <c r="C109" s="17"/>
      <c r="D109" s="72"/>
      <c r="E109" s="76"/>
      <c r="F109" s="76"/>
      <c r="G109" s="76" t="str">
        <f ca="1">IF(ISBLANK(D109),IF(AND(ISNUMBER(D108),D108&lt;$AF$5),'NTS ONLY_set_year'!$E$62,"- -"),IF(D109&gt;$AF$5,$AG$5,IF(D109&gt;D108+1,$AG$6,IF(D109&lt;D108,$AG$7,Y109))))</f>
        <v>- -</v>
      </c>
      <c r="H109" s="532"/>
      <c r="I109" s="621"/>
      <c r="J109" s="534"/>
      <c r="K109" s="555"/>
      <c r="L109" s="556"/>
      <c r="M109" s="557" t="str">
        <f t="shared" si="23"/>
        <v/>
      </c>
      <c r="N109" s="558"/>
      <c r="O109" s="559"/>
      <c r="P109" s="560"/>
      <c r="Q109" s="559"/>
      <c r="R109" s="18" t="str">
        <f t="shared" si="31"/>
        <v/>
      </c>
      <c r="S109" s="36"/>
      <c r="T109" s="120" t="str">
        <f ca="1">INDEX('NTS ONLY_set_year'!E:E,MATCH(TEXT($X109,"Ddd"),'NTS ONLY_set_year'!C:C,0))</f>
        <v>Dim</v>
      </c>
      <c r="U109" s="186" t="str">
        <f t="shared" ca="1" si="32"/>
        <v>juin</v>
      </c>
      <c r="X109" s="347">
        <f t="shared" ca="1" si="36"/>
        <v>46173</v>
      </c>
      <c r="Y109" s="452" t="str">
        <f t="shared" ca="1" si="33"/>
        <v>Dim. juin , 2026</v>
      </c>
      <c r="Z109" s="143">
        <f t="shared" ca="1" si="24"/>
        <v>30</v>
      </c>
      <c r="AA109" s="348">
        <f t="shared" ca="1" si="25"/>
        <v>6</v>
      </c>
      <c r="AB109" s="168">
        <f t="shared" ca="1" si="34"/>
        <v>0</v>
      </c>
      <c r="AF109" s="349">
        <f t="shared" ca="1" si="26"/>
        <v>99</v>
      </c>
      <c r="AG109" s="350">
        <f ca="1">MIN(AF109:AF$195)</f>
        <v>99</v>
      </c>
      <c r="AH109" s="121" t="b">
        <f t="shared" si="27"/>
        <v>0</v>
      </c>
      <c r="AJ109" s="191">
        <f t="shared" ca="1" si="28"/>
        <v>0</v>
      </c>
      <c r="AK109" s="168">
        <f>IF(D109&lt;&gt;D108,MAX(L$20:L108),AK108)</f>
        <v>0</v>
      </c>
      <c r="AL109" s="121" t="str">
        <f t="shared" si="37"/>
        <v>- -</v>
      </c>
      <c r="AM109" s="121">
        <f>MIN(K110:K$194)</f>
        <v>0</v>
      </c>
      <c r="AN109" s="352" t="str">
        <f t="shared" si="38"/>
        <v>- -</v>
      </c>
      <c r="AP109" s="352">
        <f t="shared" si="35"/>
        <v>999</v>
      </c>
      <c r="AQ109" s="143">
        <f t="shared" ca="1" si="29"/>
        <v>1</v>
      </c>
      <c r="AR109" s="143">
        <f t="shared" ca="1" si="30"/>
        <v>0</v>
      </c>
      <c r="AU109" s="281" t="str">
        <f>IF($C109=$AB$15,'NTS ONLY_set_year'!$E$143," ")&amp;$D109</f>
        <v xml:space="preserve"> </v>
      </c>
      <c r="AV109" s="121">
        <f t="shared" ca="1" si="40"/>
        <v>0</v>
      </c>
      <c r="AW109" s="198">
        <f t="shared" ca="1" si="41"/>
        <v>0</v>
      </c>
      <c r="BM109" s="352">
        <f t="shared" si="39"/>
        <v>1</v>
      </c>
      <c r="BN109" s="281">
        <f t="shared" si="39"/>
        <v>1</v>
      </c>
      <c r="BQ109" s="251"/>
      <c r="BR109" s="7"/>
      <c r="BS109" s="7"/>
      <c r="BT109" s="7"/>
      <c r="IU109" s="16"/>
    </row>
    <row r="110" spans="2:255" ht="13.2">
      <c r="B110" s="9">
        <v>91</v>
      </c>
      <c r="C110" s="17"/>
      <c r="D110" s="72"/>
      <c r="E110" s="76"/>
      <c r="F110" s="76"/>
      <c r="G110" s="76" t="str">
        <f ca="1">IF(ISBLANK(D110),IF(AND(ISNUMBER(D109),D109&lt;$AF$5),'NTS ONLY_set_year'!$E$62,"- -"),IF(D110&gt;$AF$5,$AG$5,IF(D110&gt;D109+1,$AG$6,IF(D110&lt;D109,$AG$7,Y110))))</f>
        <v>- -</v>
      </c>
      <c r="H110" s="532"/>
      <c r="I110" s="621"/>
      <c r="J110" s="534"/>
      <c r="K110" s="555"/>
      <c r="L110" s="556"/>
      <c r="M110" s="557" t="str">
        <f t="shared" si="23"/>
        <v/>
      </c>
      <c r="N110" s="558"/>
      <c r="O110" s="559"/>
      <c r="P110" s="560"/>
      <c r="Q110" s="559"/>
      <c r="R110" s="18" t="str">
        <f t="shared" si="31"/>
        <v/>
      </c>
      <c r="S110" s="36"/>
      <c r="T110" s="120" t="str">
        <f ca="1">INDEX('NTS ONLY_set_year'!E:E,MATCH(TEXT($X110,"Ddd"),'NTS ONLY_set_year'!C:C,0))</f>
        <v>Dim</v>
      </c>
      <c r="U110" s="186" t="str">
        <f t="shared" ca="1" si="32"/>
        <v>juin</v>
      </c>
      <c r="X110" s="347">
        <f t="shared" ca="1" si="36"/>
        <v>46173</v>
      </c>
      <c r="Y110" s="452" t="str">
        <f t="shared" ca="1" si="33"/>
        <v>Dim. juin , 2026</v>
      </c>
      <c r="Z110" s="143">
        <f t="shared" ca="1" si="24"/>
        <v>30</v>
      </c>
      <c r="AA110" s="348">
        <f t="shared" ca="1" si="25"/>
        <v>6</v>
      </c>
      <c r="AB110" s="168">
        <f t="shared" ca="1" si="34"/>
        <v>0</v>
      </c>
      <c r="AF110" s="349">
        <f t="shared" ca="1" si="26"/>
        <v>99</v>
      </c>
      <c r="AG110" s="350">
        <f ca="1">MIN(AF110:AF$195)</f>
        <v>99</v>
      </c>
      <c r="AH110" s="121" t="b">
        <f t="shared" si="27"/>
        <v>0</v>
      </c>
      <c r="AJ110" s="191">
        <f t="shared" ca="1" si="28"/>
        <v>0</v>
      </c>
      <c r="AK110" s="168">
        <f>IF(D110&lt;&gt;D109,MAX(L$20:L109),AK109)</f>
        <v>0</v>
      </c>
      <c r="AL110" s="121" t="str">
        <f t="shared" si="37"/>
        <v>- -</v>
      </c>
      <c r="AM110" s="121">
        <f>MIN(K111:K$194)</f>
        <v>0</v>
      </c>
      <c r="AN110" s="352" t="str">
        <f t="shared" si="38"/>
        <v>- -</v>
      </c>
      <c r="AP110" s="352">
        <f t="shared" si="35"/>
        <v>999</v>
      </c>
      <c r="AQ110" s="143">
        <f t="shared" ca="1" si="29"/>
        <v>1</v>
      </c>
      <c r="AR110" s="143">
        <f t="shared" ca="1" si="30"/>
        <v>0</v>
      </c>
      <c r="AU110" s="281" t="str">
        <f>IF($C110=$AB$15,'NTS ONLY_set_year'!$E$143," ")&amp;$D110</f>
        <v xml:space="preserve"> </v>
      </c>
      <c r="AV110" s="121">
        <f t="shared" ca="1" si="40"/>
        <v>0</v>
      </c>
      <c r="AW110" s="198">
        <f t="shared" ca="1" si="41"/>
        <v>0</v>
      </c>
      <c r="BM110" s="352">
        <f t="shared" si="39"/>
        <v>1</v>
      </c>
      <c r="BN110" s="281">
        <f t="shared" si="39"/>
        <v>1</v>
      </c>
      <c r="BQ110" s="251"/>
      <c r="BR110" s="7"/>
      <c r="BS110" s="7"/>
      <c r="BT110" s="7"/>
      <c r="IU110" s="16"/>
    </row>
    <row r="111" spans="2:255" ht="13.2">
      <c r="B111" s="9">
        <v>92</v>
      </c>
      <c r="C111" s="17"/>
      <c r="D111" s="72"/>
      <c r="E111" s="76"/>
      <c r="F111" s="76"/>
      <c r="G111" s="76" t="str">
        <f ca="1">IF(ISBLANK(D111),IF(AND(ISNUMBER(D110),D110&lt;$AF$5),'NTS ONLY_set_year'!$E$62,"- -"),IF(D111&gt;$AF$5,$AG$5,IF(D111&gt;D110+1,$AG$6,IF(D111&lt;D110,$AG$7,Y111))))</f>
        <v>- -</v>
      </c>
      <c r="H111" s="532"/>
      <c r="I111" s="621"/>
      <c r="J111" s="534"/>
      <c r="K111" s="555"/>
      <c r="L111" s="556"/>
      <c r="M111" s="557" t="str">
        <f t="shared" si="23"/>
        <v/>
      </c>
      <c r="N111" s="558"/>
      <c r="O111" s="559"/>
      <c r="P111" s="560"/>
      <c r="Q111" s="559"/>
      <c r="R111" s="18" t="str">
        <f t="shared" si="31"/>
        <v/>
      </c>
      <c r="S111" s="36"/>
      <c r="T111" s="120" t="str">
        <f ca="1">INDEX('NTS ONLY_set_year'!E:E,MATCH(TEXT($X111,"Ddd"),'NTS ONLY_set_year'!C:C,0))</f>
        <v>Dim</v>
      </c>
      <c r="U111" s="186" t="str">
        <f t="shared" ca="1" si="32"/>
        <v>juin</v>
      </c>
      <c r="X111" s="347">
        <f t="shared" ca="1" si="36"/>
        <v>46173</v>
      </c>
      <c r="Y111" s="452" t="str">
        <f t="shared" ca="1" si="33"/>
        <v>Dim. juin , 2026</v>
      </c>
      <c r="Z111" s="143">
        <f t="shared" ca="1" si="24"/>
        <v>30</v>
      </c>
      <c r="AA111" s="348">
        <f t="shared" ca="1" si="25"/>
        <v>6</v>
      </c>
      <c r="AB111" s="168">
        <f t="shared" ca="1" si="34"/>
        <v>0</v>
      </c>
      <c r="AF111" s="349">
        <f t="shared" ca="1" si="26"/>
        <v>99</v>
      </c>
      <c r="AG111" s="350">
        <f ca="1">MIN(AF111:AF$195)</f>
        <v>99</v>
      </c>
      <c r="AH111" s="121" t="b">
        <f t="shared" si="27"/>
        <v>0</v>
      </c>
      <c r="AJ111" s="191">
        <f t="shared" ca="1" si="28"/>
        <v>0</v>
      </c>
      <c r="AK111" s="168">
        <f>IF(D111&lt;&gt;D110,MAX(L$20:L110),AK110)</f>
        <v>0</v>
      </c>
      <c r="AL111" s="121" t="str">
        <f t="shared" si="37"/>
        <v>- -</v>
      </c>
      <c r="AM111" s="121">
        <f>MIN(K112:K$194)</f>
        <v>0</v>
      </c>
      <c r="AN111" s="352" t="str">
        <f t="shared" si="38"/>
        <v>- -</v>
      </c>
      <c r="AP111" s="352">
        <f t="shared" si="35"/>
        <v>999</v>
      </c>
      <c r="AQ111" s="143">
        <f t="shared" ca="1" si="29"/>
        <v>1</v>
      </c>
      <c r="AR111" s="143">
        <f t="shared" ca="1" si="30"/>
        <v>0</v>
      </c>
      <c r="AU111" s="281" t="str">
        <f>IF($C111=$AB$15,'NTS ONLY_set_year'!$E$143," ")&amp;$D111</f>
        <v xml:space="preserve"> </v>
      </c>
      <c r="AV111" s="121">
        <f t="shared" ca="1" si="40"/>
        <v>0</v>
      </c>
      <c r="AW111" s="198">
        <f t="shared" ca="1" si="41"/>
        <v>0</v>
      </c>
      <c r="BM111" s="352">
        <f t="shared" si="39"/>
        <v>1</v>
      </c>
      <c r="BN111" s="281">
        <f t="shared" si="39"/>
        <v>1</v>
      </c>
      <c r="BQ111" s="251"/>
      <c r="BR111" s="7"/>
      <c r="BS111" s="7"/>
      <c r="BT111" s="7"/>
      <c r="IU111" s="16"/>
    </row>
    <row r="112" spans="2:255" ht="13.2">
      <c r="B112" s="9">
        <v>93</v>
      </c>
      <c r="C112" s="17"/>
      <c r="D112" s="72"/>
      <c r="E112" s="76"/>
      <c r="F112" s="76"/>
      <c r="G112" s="76" t="str">
        <f ca="1">IF(ISBLANK(D112),IF(AND(ISNUMBER(D111),D111&lt;$AF$5),'NTS ONLY_set_year'!$E$62,"- -"),IF(D112&gt;$AF$5,$AG$5,IF(D112&gt;D111+1,$AG$6,IF(D112&lt;D111,$AG$7,Y112))))</f>
        <v>- -</v>
      </c>
      <c r="H112" s="532"/>
      <c r="I112" s="621"/>
      <c r="J112" s="534"/>
      <c r="K112" s="555"/>
      <c r="L112" s="556"/>
      <c r="M112" s="557" t="str">
        <f t="shared" si="23"/>
        <v/>
      </c>
      <c r="N112" s="558"/>
      <c r="O112" s="559"/>
      <c r="P112" s="560"/>
      <c r="Q112" s="559"/>
      <c r="R112" s="18" t="str">
        <f t="shared" si="31"/>
        <v/>
      </c>
      <c r="S112" s="36"/>
      <c r="T112" s="120" t="str">
        <f ca="1">INDEX('NTS ONLY_set_year'!E:E,MATCH(TEXT($X112,"Ddd"),'NTS ONLY_set_year'!C:C,0))</f>
        <v>Dim</v>
      </c>
      <c r="U112" s="186" t="str">
        <f t="shared" ca="1" si="32"/>
        <v>juin</v>
      </c>
      <c r="X112" s="347">
        <f t="shared" ca="1" si="36"/>
        <v>46173</v>
      </c>
      <c r="Y112" s="452" t="str">
        <f t="shared" ca="1" si="33"/>
        <v>Dim. juin , 2026</v>
      </c>
      <c r="Z112" s="143">
        <f t="shared" ca="1" si="24"/>
        <v>30</v>
      </c>
      <c r="AA112" s="348">
        <f t="shared" ca="1" si="25"/>
        <v>6</v>
      </c>
      <c r="AB112" s="168">
        <f t="shared" ca="1" si="34"/>
        <v>0</v>
      </c>
      <c r="AF112" s="349">
        <f t="shared" ca="1" si="26"/>
        <v>99</v>
      </c>
      <c r="AG112" s="350">
        <f ca="1">MIN(AF112:AF$195)</f>
        <v>99</v>
      </c>
      <c r="AH112" s="121" t="b">
        <f t="shared" si="27"/>
        <v>0</v>
      </c>
      <c r="AJ112" s="191">
        <f t="shared" ca="1" si="28"/>
        <v>0</v>
      </c>
      <c r="AK112" s="168">
        <f>IF(D112&lt;&gt;D111,MAX(L$20:L111),AK111)</f>
        <v>0</v>
      </c>
      <c r="AL112" s="121" t="str">
        <f t="shared" si="37"/>
        <v>- -</v>
      </c>
      <c r="AM112" s="121">
        <f>MIN(K113:K$194)</f>
        <v>0</v>
      </c>
      <c r="AN112" s="352" t="str">
        <f t="shared" si="38"/>
        <v>- -</v>
      </c>
      <c r="AP112" s="352">
        <f t="shared" si="35"/>
        <v>999</v>
      </c>
      <c r="AQ112" s="143">
        <f t="shared" ca="1" si="29"/>
        <v>1</v>
      </c>
      <c r="AR112" s="143">
        <f t="shared" ca="1" si="30"/>
        <v>0</v>
      </c>
      <c r="AU112" s="281" t="str">
        <f>IF($C112=$AB$15,'NTS ONLY_set_year'!$E$143," ")&amp;$D112</f>
        <v xml:space="preserve"> </v>
      </c>
      <c r="AV112" s="121">
        <f t="shared" ca="1" si="40"/>
        <v>0</v>
      </c>
      <c r="AW112" s="198">
        <f t="shared" ca="1" si="41"/>
        <v>0</v>
      </c>
      <c r="BM112" s="352">
        <f t="shared" si="39"/>
        <v>1</v>
      </c>
      <c r="BN112" s="281">
        <f t="shared" si="39"/>
        <v>1</v>
      </c>
      <c r="BQ112" s="251"/>
      <c r="BR112" s="7"/>
      <c r="BS112" s="7"/>
      <c r="BT112" s="7"/>
      <c r="IU112" s="16"/>
    </row>
    <row r="113" spans="2:255" ht="13.2">
      <c r="B113" s="9">
        <v>94</v>
      </c>
      <c r="C113" s="17"/>
      <c r="D113" s="72"/>
      <c r="E113" s="76"/>
      <c r="F113" s="76"/>
      <c r="G113" s="76" t="str">
        <f ca="1">IF(ISBLANK(D113),IF(AND(ISNUMBER(D112),D112&lt;$AF$5),'NTS ONLY_set_year'!$E$62,"- -"),IF(D113&gt;$AF$5,$AG$5,IF(D113&gt;D112+1,$AG$6,IF(D113&lt;D112,$AG$7,Y113))))</f>
        <v>- -</v>
      </c>
      <c r="H113" s="532"/>
      <c r="I113" s="621"/>
      <c r="J113" s="534"/>
      <c r="K113" s="555"/>
      <c r="L113" s="556"/>
      <c r="M113" s="557" t="str">
        <f t="shared" si="23"/>
        <v/>
      </c>
      <c r="N113" s="558"/>
      <c r="O113" s="559"/>
      <c r="P113" s="560"/>
      <c r="Q113" s="559"/>
      <c r="R113" s="18" t="str">
        <f t="shared" si="31"/>
        <v/>
      </c>
      <c r="S113" s="36"/>
      <c r="T113" s="120" t="str">
        <f ca="1">INDEX('NTS ONLY_set_year'!E:E,MATCH(TEXT($X113,"Ddd"),'NTS ONLY_set_year'!C:C,0))</f>
        <v>Dim</v>
      </c>
      <c r="U113" s="186" t="str">
        <f t="shared" ca="1" si="32"/>
        <v>juin</v>
      </c>
      <c r="X113" s="347">
        <f t="shared" ca="1" si="36"/>
        <v>46173</v>
      </c>
      <c r="Y113" s="452" t="str">
        <f t="shared" ca="1" si="33"/>
        <v>Dim. juin , 2026</v>
      </c>
      <c r="Z113" s="143">
        <f t="shared" ca="1" si="24"/>
        <v>30</v>
      </c>
      <c r="AA113" s="348">
        <f t="shared" ca="1" si="25"/>
        <v>6</v>
      </c>
      <c r="AB113" s="168">
        <f t="shared" ca="1" si="34"/>
        <v>0</v>
      </c>
      <c r="AF113" s="349">
        <f t="shared" ca="1" si="26"/>
        <v>99</v>
      </c>
      <c r="AG113" s="350">
        <f ca="1">MIN(AF113:AF$195)</f>
        <v>99</v>
      </c>
      <c r="AH113" s="121" t="b">
        <f t="shared" si="27"/>
        <v>0</v>
      </c>
      <c r="AJ113" s="191">
        <f t="shared" ca="1" si="28"/>
        <v>0</v>
      </c>
      <c r="AK113" s="168">
        <f>IF(D113&lt;&gt;D112,MAX(L$20:L112),AK112)</f>
        <v>0</v>
      </c>
      <c r="AL113" s="121" t="str">
        <f t="shared" si="37"/>
        <v>- -</v>
      </c>
      <c r="AM113" s="121">
        <f>MIN(K114:K$194)</f>
        <v>0</v>
      </c>
      <c r="AN113" s="352" t="str">
        <f t="shared" si="38"/>
        <v>- -</v>
      </c>
      <c r="AP113" s="352">
        <f t="shared" si="35"/>
        <v>999</v>
      </c>
      <c r="AQ113" s="143">
        <f t="shared" ca="1" si="29"/>
        <v>1</v>
      </c>
      <c r="AR113" s="143">
        <f t="shared" ca="1" si="30"/>
        <v>0</v>
      </c>
      <c r="AU113" s="281" t="str">
        <f>IF($C113=$AB$15,'NTS ONLY_set_year'!$E$143," ")&amp;$D113</f>
        <v xml:space="preserve"> </v>
      </c>
      <c r="AV113" s="121">
        <f t="shared" ca="1" si="40"/>
        <v>0</v>
      </c>
      <c r="AW113" s="198">
        <f t="shared" ca="1" si="41"/>
        <v>0</v>
      </c>
      <c r="BM113" s="352">
        <f t="shared" si="39"/>
        <v>1</v>
      </c>
      <c r="BN113" s="281">
        <f t="shared" si="39"/>
        <v>1</v>
      </c>
      <c r="BQ113" s="251"/>
      <c r="BR113" s="7"/>
      <c r="BS113" s="7"/>
      <c r="BT113" s="7"/>
      <c r="IU113" s="16"/>
    </row>
    <row r="114" spans="2:255" ht="13.2">
      <c r="B114" s="9">
        <v>95</v>
      </c>
      <c r="C114" s="17"/>
      <c r="D114" s="72"/>
      <c r="E114" s="76"/>
      <c r="F114" s="76"/>
      <c r="G114" s="76" t="str">
        <f ca="1">IF(ISBLANK(D114),IF(AND(ISNUMBER(D113),D113&lt;$AF$5),'NTS ONLY_set_year'!$E$62,"- -"),IF(D114&gt;$AF$5,$AG$5,IF(D114&gt;D113+1,$AG$6,IF(D114&lt;D113,$AG$7,Y114))))</f>
        <v>- -</v>
      </c>
      <c r="H114" s="532"/>
      <c r="I114" s="621"/>
      <c r="J114" s="534"/>
      <c r="K114" s="555"/>
      <c r="L114" s="556"/>
      <c r="M114" s="557" t="str">
        <f t="shared" si="23"/>
        <v/>
      </c>
      <c r="N114" s="558"/>
      <c r="O114" s="559"/>
      <c r="P114" s="560"/>
      <c r="Q114" s="559"/>
      <c r="R114" s="18" t="str">
        <f t="shared" si="31"/>
        <v/>
      </c>
      <c r="S114" s="36"/>
      <c r="T114" s="120" t="str">
        <f ca="1">INDEX('NTS ONLY_set_year'!E:E,MATCH(TEXT($X114,"Ddd"),'NTS ONLY_set_year'!C:C,0))</f>
        <v>Dim</v>
      </c>
      <c r="U114" s="186" t="str">
        <f t="shared" ca="1" si="32"/>
        <v>juin</v>
      </c>
      <c r="X114" s="347">
        <f t="shared" ca="1" si="36"/>
        <v>46173</v>
      </c>
      <c r="Y114" s="452" t="str">
        <f t="shared" ca="1" si="33"/>
        <v>Dim. juin , 2026</v>
      </c>
      <c r="Z114" s="143">
        <f t="shared" ca="1" si="24"/>
        <v>30</v>
      </c>
      <c r="AA114" s="348">
        <f t="shared" ca="1" si="25"/>
        <v>6</v>
      </c>
      <c r="AB114" s="168">
        <f t="shared" ca="1" si="34"/>
        <v>0</v>
      </c>
      <c r="AF114" s="349">
        <f t="shared" ca="1" si="26"/>
        <v>99</v>
      </c>
      <c r="AG114" s="350">
        <f ca="1">MIN(AF114:AF$195)</f>
        <v>99</v>
      </c>
      <c r="AH114" s="121" t="b">
        <f t="shared" si="27"/>
        <v>0</v>
      </c>
      <c r="AJ114" s="191">
        <f t="shared" ca="1" si="28"/>
        <v>0</v>
      </c>
      <c r="AK114" s="168">
        <f>IF(D114&lt;&gt;D113,MAX(L$20:L113),AK113)</f>
        <v>0</v>
      </c>
      <c r="AL114" s="121" t="str">
        <f t="shared" si="37"/>
        <v>- -</v>
      </c>
      <c r="AM114" s="121">
        <f>MIN(K115:K$194)</f>
        <v>0</v>
      </c>
      <c r="AN114" s="352" t="str">
        <f t="shared" si="38"/>
        <v>- -</v>
      </c>
      <c r="AP114" s="352">
        <f t="shared" si="35"/>
        <v>999</v>
      </c>
      <c r="AQ114" s="143">
        <f t="shared" ca="1" si="29"/>
        <v>1</v>
      </c>
      <c r="AR114" s="143">
        <f t="shared" ca="1" si="30"/>
        <v>0</v>
      </c>
      <c r="AU114" s="281" t="str">
        <f>IF($C114=$AB$15,'NTS ONLY_set_year'!$E$143," ")&amp;$D114</f>
        <v xml:space="preserve"> </v>
      </c>
      <c r="AV114" s="121">
        <f t="shared" ca="1" si="40"/>
        <v>0</v>
      </c>
      <c r="AW114" s="198">
        <f t="shared" ca="1" si="41"/>
        <v>0</v>
      </c>
      <c r="BM114" s="352">
        <f t="shared" si="39"/>
        <v>1</v>
      </c>
      <c r="BN114" s="281">
        <f t="shared" si="39"/>
        <v>1</v>
      </c>
      <c r="BQ114" s="251"/>
      <c r="BR114" s="7"/>
      <c r="BS114" s="7"/>
      <c r="BT114" s="7"/>
      <c r="IU114" s="16"/>
    </row>
    <row r="115" spans="2:255" ht="13.2">
      <c r="B115" s="9">
        <v>96</v>
      </c>
      <c r="C115" s="17"/>
      <c r="D115" s="72"/>
      <c r="E115" s="76"/>
      <c r="F115" s="76"/>
      <c r="G115" s="76" t="str">
        <f ca="1">IF(ISBLANK(D115),IF(AND(ISNUMBER(D114),D114&lt;$AF$5),'NTS ONLY_set_year'!$E$62,"- -"),IF(D115&gt;$AF$5,$AG$5,IF(D115&gt;D114+1,$AG$6,IF(D115&lt;D114,$AG$7,Y115))))</f>
        <v>- -</v>
      </c>
      <c r="H115" s="532"/>
      <c r="I115" s="621"/>
      <c r="J115" s="534"/>
      <c r="K115" s="555"/>
      <c r="L115" s="556"/>
      <c r="M115" s="557" t="str">
        <f t="shared" si="23"/>
        <v/>
      </c>
      <c r="N115" s="558"/>
      <c r="O115" s="559"/>
      <c r="P115" s="560"/>
      <c r="Q115" s="559"/>
      <c r="R115" s="18" t="str">
        <f t="shared" si="31"/>
        <v/>
      </c>
      <c r="S115" s="36"/>
      <c r="T115" s="120" t="str">
        <f ca="1">INDEX('NTS ONLY_set_year'!E:E,MATCH(TEXT($X115,"Ddd"),'NTS ONLY_set_year'!C:C,0))</f>
        <v>Dim</v>
      </c>
      <c r="U115" s="186" t="str">
        <f t="shared" ca="1" si="32"/>
        <v>juin</v>
      </c>
      <c r="X115" s="347">
        <f t="shared" ca="1" si="36"/>
        <v>46173</v>
      </c>
      <c r="Y115" s="452" t="str">
        <f t="shared" ca="1" si="33"/>
        <v>Dim. juin , 2026</v>
      </c>
      <c r="Z115" s="143">
        <f t="shared" ca="1" si="24"/>
        <v>30</v>
      </c>
      <c r="AA115" s="348">
        <f t="shared" ca="1" si="25"/>
        <v>6</v>
      </c>
      <c r="AB115" s="168">
        <f t="shared" ca="1" si="34"/>
        <v>0</v>
      </c>
      <c r="AF115" s="349">
        <f t="shared" ca="1" si="26"/>
        <v>99</v>
      </c>
      <c r="AG115" s="350">
        <f ca="1">MIN(AF115:AF$195)</f>
        <v>99</v>
      </c>
      <c r="AH115" s="121" t="b">
        <f t="shared" si="27"/>
        <v>0</v>
      </c>
      <c r="AJ115" s="191">
        <f t="shared" ca="1" si="28"/>
        <v>0</v>
      </c>
      <c r="AK115" s="168">
        <f>IF(D115&lt;&gt;D114,MAX(L$20:L114),AK114)</f>
        <v>0</v>
      </c>
      <c r="AL115" s="121" t="str">
        <f t="shared" si="37"/>
        <v>- -</v>
      </c>
      <c r="AM115" s="121">
        <f>MIN(K116:K$194)</f>
        <v>0</v>
      </c>
      <c r="AN115" s="352" t="str">
        <f t="shared" si="38"/>
        <v>- -</v>
      </c>
      <c r="AP115" s="352">
        <f t="shared" si="35"/>
        <v>999</v>
      </c>
      <c r="AQ115" s="143">
        <f t="shared" ca="1" si="29"/>
        <v>1</v>
      </c>
      <c r="AR115" s="143">
        <f t="shared" ca="1" si="30"/>
        <v>0</v>
      </c>
      <c r="AU115" s="281" t="str">
        <f>IF($C115=$AB$15,'NTS ONLY_set_year'!$E$143," ")&amp;$D115</f>
        <v xml:space="preserve"> </v>
      </c>
      <c r="AV115" s="121">
        <f t="shared" ca="1" si="40"/>
        <v>0</v>
      </c>
      <c r="AW115" s="198">
        <f t="shared" ca="1" si="41"/>
        <v>0</v>
      </c>
      <c r="BM115" s="352">
        <f t="shared" si="39"/>
        <v>1</v>
      </c>
      <c r="BN115" s="281">
        <f t="shared" si="39"/>
        <v>1</v>
      </c>
      <c r="BQ115" s="251"/>
      <c r="BR115" s="7"/>
      <c r="BS115" s="7"/>
      <c r="BT115" s="7"/>
      <c r="IU115" s="16"/>
    </row>
    <row r="116" spans="2:255" ht="13.2">
      <c r="B116" s="9">
        <v>97</v>
      </c>
      <c r="C116" s="17"/>
      <c r="D116" s="72"/>
      <c r="E116" s="76"/>
      <c r="F116" s="76"/>
      <c r="G116" s="76" t="str">
        <f ca="1">IF(ISBLANK(D116),IF(AND(ISNUMBER(D115),D115&lt;$AF$5),'NTS ONLY_set_year'!$E$62,"- -"),IF(D116&gt;$AF$5,$AG$5,IF(D116&gt;D115+1,$AG$6,IF(D116&lt;D115,$AG$7,Y116))))</f>
        <v>- -</v>
      </c>
      <c r="H116" s="532"/>
      <c r="I116" s="621"/>
      <c r="J116" s="534"/>
      <c r="K116" s="555"/>
      <c r="L116" s="556"/>
      <c r="M116" s="557" t="str">
        <f t="shared" si="23"/>
        <v/>
      </c>
      <c r="N116" s="558"/>
      <c r="O116" s="559"/>
      <c r="P116" s="560"/>
      <c r="Q116" s="559"/>
      <c r="R116" s="18" t="str">
        <f t="shared" si="31"/>
        <v/>
      </c>
      <c r="S116" s="36"/>
      <c r="T116" s="120" t="str">
        <f ca="1">INDEX('NTS ONLY_set_year'!E:E,MATCH(TEXT($X116,"Ddd"),'NTS ONLY_set_year'!C:C,0))</f>
        <v>Dim</v>
      </c>
      <c r="U116" s="186" t="str">
        <f t="shared" ca="1" si="32"/>
        <v>juin</v>
      </c>
      <c r="X116" s="347">
        <f t="shared" ca="1" si="36"/>
        <v>46173</v>
      </c>
      <c r="Y116" s="452" t="str">
        <f t="shared" ca="1" si="33"/>
        <v>Dim. juin , 2026</v>
      </c>
      <c r="Z116" s="143">
        <f t="shared" ca="1" si="24"/>
        <v>30</v>
      </c>
      <c r="AA116" s="348">
        <f t="shared" ca="1" si="25"/>
        <v>6</v>
      </c>
      <c r="AB116" s="168">
        <f t="shared" ca="1" si="34"/>
        <v>0</v>
      </c>
      <c r="AF116" s="349">
        <f t="shared" ca="1" si="26"/>
        <v>99</v>
      </c>
      <c r="AG116" s="350">
        <f ca="1">MIN(AF116:AF$195)</f>
        <v>99</v>
      </c>
      <c r="AH116" s="121" t="b">
        <f t="shared" si="27"/>
        <v>0</v>
      </c>
      <c r="AJ116" s="191">
        <f t="shared" ca="1" si="28"/>
        <v>0</v>
      </c>
      <c r="AK116" s="168">
        <f>IF(D116&lt;&gt;D115,MAX(L$20:L115),AK115)</f>
        <v>0</v>
      </c>
      <c r="AL116" s="121" t="str">
        <f t="shared" si="37"/>
        <v>- -</v>
      </c>
      <c r="AM116" s="121">
        <f>MIN(K117:K$194)</f>
        <v>0</v>
      </c>
      <c r="AN116" s="352" t="str">
        <f t="shared" si="38"/>
        <v>- -</v>
      </c>
      <c r="AP116" s="352">
        <f t="shared" si="35"/>
        <v>999</v>
      </c>
      <c r="AQ116" s="143">
        <f t="shared" ca="1" si="29"/>
        <v>1</v>
      </c>
      <c r="AR116" s="143">
        <f t="shared" ca="1" si="30"/>
        <v>0</v>
      </c>
      <c r="AU116" s="281" t="str">
        <f>IF($C116=$AB$15,'NTS ONLY_set_year'!$E$143," ")&amp;$D116</f>
        <v xml:space="preserve"> </v>
      </c>
      <c r="AV116" s="121">
        <f t="shared" ca="1" si="40"/>
        <v>0</v>
      </c>
      <c r="AW116" s="198">
        <f t="shared" ca="1" si="41"/>
        <v>0</v>
      </c>
      <c r="BM116" s="352">
        <f t="shared" si="39"/>
        <v>1</v>
      </c>
      <c r="BN116" s="281">
        <f t="shared" si="39"/>
        <v>1</v>
      </c>
      <c r="BQ116" s="251"/>
      <c r="BR116" s="7"/>
      <c r="BS116" s="7"/>
      <c r="BT116" s="7"/>
      <c r="IU116" s="16"/>
    </row>
    <row r="117" spans="2:255" ht="13.2">
      <c r="B117" s="9">
        <v>98</v>
      </c>
      <c r="C117" s="17"/>
      <c r="D117" s="72"/>
      <c r="E117" s="76"/>
      <c r="F117" s="76"/>
      <c r="G117" s="76" t="str">
        <f ca="1">IF(ISBLANK(D117),IF(AND(ISNUMBER(D116),D116&lt;$AF$5),'NTS ONLY_set_year'!$E$62,"- -"),IF(D117&gt;$AF$5,$AG$5,IF(D117&gt;D116+1,$AG$6,IF(D117&lt;D116,$AG$7,Y117))))</f>
        <v>- -</v>
      </c>
      <c r="H117" s="532"/>
      <c r="I117" s="621"/>
      <c r="J117" s="534"/>
      <c r="K117" s="555"/>
      <c r="L117" s="556"/>
      <c r="M117" s="557" t="str">
        <f t="shared" si="23"/>
        <v/>
      </c>
      <c r="N117" s="558"/>
      <c r="O117" s="559"/>
      <c r="P117" s="560"/>
      <c r="Q117" s="559"/>
      <c r="R117" s="18" t="str">
        <f t="shared" si="31"/>
        <v/>
      </c>
      <c r="S117" s="36"/>
      <c r="T117" s="120" t="str">
        <f ca="1">INDEX('NTS ONLY_set_year'!E:E,MATCH(TEXT($X117,"Ddd"),'NTS ONLY_set_year'!C:C,0))</f>
        <v>Dim</v>
      </c>
      <c r="U117" s="186" t="str">
        <f t="shared" ca="1" si="32"/>
        <v>juin</v>
      </c>
      <c r="X117" s="347">
        <f t="shared" ca="1" si="36"/>
        <v>46173</v>
      </c>
      <c r="Y117" s="452" t="str">
        <f t="shared" ca="1" si="33"/>
        <v>Dim. juin , 2026</v>
      </c>
      <c r="Z117" s="143">
        <f t="shared" ca="1" si="24"/>
        <v>30</v>
      </c>
      <c r="AA117" s="348">
        <f t="shared" ca="1" si="25"/>
        <v>6</v>
      </c>
      <c r="AB117" s="168">
        <f t="shared" ca="1" si="34"/>
        <v>0</v>
      </c>
      <c r="AF117" s="349">
        <f t="shared" ca="1" si="26"/>
        <v>99</v>
      </c>
      <c r="AG117" s="350">
        <f ca="1">MIN(AF117:AF$195)</f>
        <v>99</v>
      </c>
      <c r="AH117" s="121" t="b">
        <f t="shared" si="27"/>
        <v>0</v>
      </c>
      <c r="AJ117" s="191">
        <f t="shared" ca="1" si="28"/>
        <v>0</v>
      </c>
      <c r="AK117" s="168">
        <f>IF(D117&lt;&gt;D116,MAX(L$20:L116),AK116)</f>
        <v>0</v>
      </c>
      <c r="AL117" s="121" t="str">
        <f t="shared" si="37"/>
        <v>- -</v>
      </c>
      <c r="AM117" s="121">
        <f>MIN(K118:K$194)</f>
        <v>0</v>
      </c>
      <c r="AN117" s="352" t="str">
        <f t="shared" si="38"/>
        <v>- -</v>
      </c>
      <c r="AP117" s="352">
        <f t="shared" si="35"/>
        <v>999</v>
      </c>
      <c r="AQ117" s="143">
        <f t="shared" ca="1" si="29"/>
        <v>1</v>
      </c>
      <c r="AR117" s="143">
        <f t="shared" ca="1" si="30"/>
        <v>0</v>
      </c>
      <c r="AU117" s="281" t="str">
        <f>IF($C117=$AB$15,'NTS ONLY_set_year'!$E$143," ")&amp;$D117</f>
        <v xml:space="preserve"> </v>
      </c>
      <c r="AV117" s="121">
        <f t="shared" ca="1" si="40"/>
        <v>0</v>
      </c>
      <c r="AW117" s="198">
        <f t="shared" ca="1" si="41"/>
        <v>0</v>
      </c>
      <c r="BM117" s="352">
        <f t="shared" si="39"/>
        <v>1</v>
      </c>
      <c r="BN117" s="281">
        <f t="shared" si="39"/>
        <v>1</v>
      </c>
      <c r="BQ117" s="251"/>
      <c r="BR117" s="7"/>
      <c r="BS117" s="7"/>
      <c r="BT117" s="7"/>
      <c r="IU117" s="16"/>
    </row>
    <row r="118" spans="2:255" ht="13.2">
      <c r="B118" s="9">
        <v>99</v>
      </c>
      <c r="C118" s="17"/>
      <c r="D118" s="72"/>
      <c r="E118" s="76"/>
      <c r="F118" s="76"/>
      <c r="G118" s="76" t="str">
        <f ca="1">IF(ISBLANK(D118),IF(AND(ISNUMBER(D117),D117&lt;$AF$5),'NTS ONLY_set_year'!$E$62,"- -"),IF(D118&gt;$AF$5,$AG$5,IF(D118&gt;D117+1,$AG$6,IF(D118&lt;D117,$AG$7,Y118))))</f>
        <v>- -</v>
      </c>
      <c r="H118" s="532"/>
      <c r="I118" s="621"/>
      <c r="J118" s="534"/>
      <c r="K118" s="555"/>
      <c r="L118" s="556"/>
      <c r="M118" s="557" t="str">
        <f t="shared" si="23"/>
        <v/>
      </c>
      <c r="N118" s="558"/>
      <c r="O118" s="559"/>
      <c r="P118" s="560"/>
      <c r="Q118" s="559"/>
      <c r="R118" s="18" t="str">
        <f t="shared" si="31"/>
        <v/>
      </c>
      <c r="S118" s="36"/>
      <c r="T118" s="120" t="str">
        <f ca="1">INDEX('NTS ONLY_set_year'!E:E,MATCH(TEXT($X118,"Ddd"),'NTS ONLY_set_year'!C:C,0))</f>
        <v>Dim</v>
      </c>
      <c r="U118" s="186" t="str">
        <f t="shared" ca="1" si="32"/>
        <v>juin</v>
      </c>
      <c r="X118" s="347">
        <f t="shared" ca="1" si="36"/>
        <v>46173</v>
      </c>
      <c r="Y118" s="452" t="str">
        <f t="shared" ca="1" si="33"/>
        <v>Dim. juin , 2026</v>
      </c>
      <c r="Z118" s="143">
        <f t="shared" ca="1" si="24"/>
        <v>30</v>
      </c>
      <c r="AA118" s="348">
        <f t="shared" ca="1" si="25"/>
        <v>6</v>
      </c>
      <c r="AB118" s="168">
        <f t="shared" ca="1" si="34"/>
        <v>0</v>
      </c>
      <c r="AF118" s="349">
        <f t="shared" ca="1" si="26"/>
        <v>99</v>
      </c>
      <c r="AG118" s="350">
        <f ca="1">MIN(AF118:AF$195)</f>
        <v>99</v>
      </c>
      <c r="AH118" s="121" t="b">
        <f t="shared" si="27"/>
        <v>0</v>
      </c>
      <c r="AJ118" s="191">
        <f t="shared" ca="1" si="28"/>
        <v>0</v>
      </c>
      <c r="AK118" s="168">
        <f>IF(D118&lt;&gt;D117,MAX(L$20:L117),AK117)</f>
        <v>0</v>
      </c>
      <c r="AL118" s="121" t="str">
        <f t="shared" si="37"/>
        <v>- -</v>
      </c>
      <c r="AM118" s="121">
        <f>MIN(K119:K$194)</f>
        <v>0</v>
      </c>
      <c r="AN118" s="352" t="str">
        <f t="shared" si="38"/>
        <v>- -</v>
      </c>
      <c r="AP118" s="352">
        <f t="shared" si="35"/>
        <v>999</v>
      </c>
      <c r="AQ118" s="143">
        <f t="shared" ca="1" si="29"/>
        <v>1</v>
      </c>
      <c r="AR118" s="143">
        <f t="shared" ca="1" si="30"/>
        <v>0</v>
      </c>
      <c r="AU118" s="281" t="str">
        <f>IF($C118=$AB$15,'NTS ONLY_set_year'!$E$143," ")&amp;$D118</f>
        <v xml:space="preserve"> </v>
      </c>
      <c r="AV118" s="121">
        <f t="shared" ca="1" si="40"/>
        <v>0</v>
      </c>
      <c r="AW118" s="198">
        <f t="shared" ca="1" si="41"/>
        <v>0</v>
      </c>
      <c r="BM118" s="352">
        <f t="shared" si="39"/>
        <v>1</v>
      </c>
      <c r="BN118" s="281">
        <f t="shared" si="39"/>
        <v>1</v>
      </c>
      <c r="BQ118" s="251"/>
      <c r="BR118" s="7"/>
      <c r="BS118" s="7"/>
      <c r="BT118" s="7"/>
      <c r="IU118" s="16"/>
    </row>
    <row r="119" spans="2:255" ht="13.2">
      <c r="B119" s="9">
        <v>100</v>
      </c>
      <c r="C119" s="17"/>
      <c r="D119" s="72"/>
      <c r="E119" s="76"/>
      <c r="F119" s="76"/>
      <c r="G119" s="76" t="str">
        <f ca="1">IF(ISBLANK(D119),IF(AND(ISNUMBER(D118),D118&lt;$AF$5),'NTS ONLY_set_year'!$E$62,"- -"),IF(D119&gt;$AF$5,$AG$5,IF(D119&gt;D118+1,$AG$6,IF(D119&lt;D118,$AG$7,Y119))))</f>
        <v>- -</v>
      </c>
      <c r="H119" s="532"/>
      <c r="I119" s="621"/>
      <c r="J119" s="534"/>
      <c r="K119" s="555"/>
      <c r="L119" s="556"/>
      <c r="M119" s="557" t="str">
        <f t="shared" si="23"/>
        <v/>
      </c>
      <c r="N119" s="558"/>
      <c r="O119" s="559"/>
      <c r="P119" s="560"/>
      <c r="Q119" s="559"/>
      <c r="R119" s="18" t="str">
        <f t="shared" si="31"/>
        <v/>
      </c>
      <c r="S119" s="36"/>
      <c r="T119" s="120" t="str">
        <f ca="1">INDEX('NTS ONLY_set_year'!E:E,MATCH(TEXT($X119,"Ddd"),'NTS ONLY_set_year'!C:C,0))</f>
        <v>Dim</v>
      </c>
      <c r="U119" s="186" t="str">
        <f t="shared" ca="1" si="32"/>
        <v>juin</v>
      </c>
      <c r="X119" s="347">
        <f t="shared" ca="1" si="36"/>
        <v>46173</v>
      </c>
      <c r="Y119" s="452" t="str">
        <f t="shared" ca="1" si="33"/>
        <v>Dim. juin , 2026</v>
      </c>
      <c r="Z119" s="143">
        <f t="shared" ca="1" si="24"/>
        <v>30</v>
      </c>
      <c r="AA119" s="348">
        <f t="shared" ca="1" si="25"/>
        <v>6</v>
      </c>
      <c r="AB119" s="168">
        <f t="shared" ca="1" si="34"/>
        <v>0</v>
      </c>
      <c r="AF119" s="349">
        <f t="shared" ca="1" si="26"/>
        <v>99</v>
      </c>
      <c r="AG119" s="350">
        <f ca="1">MIN(AF119:AF$195)</f>
        <v>99</v>
      </c>
      <c r="AH119" s="121" t="b">
        <f t="shared" si="27"/>
        <v>0</v>
      </c>
      <c r="AJ119" s="191">
        <f t="shared" ca="1" si="28"/>
        <v>0</v>
      </c>
      <c r="AK119" s="168">
        <f>IF(D119&lt;&gt;D118,MAX(L$20:L118),AK118)</f>
        <v>0</v>
      </c>
      <c r="AL119" s="121" t="str">
        <f t="shared" si="37"/>
        <v>- -</v>
      </c>
      <c r="AM119" s="121">
        <f>MIN(K120:K$194)</f>
        <v>0</v>
      </c>
      <c r="AN119" s="352" t="str">
        <f t="shared" si="38"/>
        <v>- -</v>
      </c>
      <c r="AP119" s="352">
        <f t="shared" si="35"/>
        <v>999</v>
      </c>
      <c r="AQ119" s="143">
        <f t="shared" ca="1" si="29"/>
        <v>1</v>
      </c>
      <c r="AR119" s="143">
        <f t="shared" ca="1" si="30"/>
        <v>0</v>
      </c>
      <c r="AU119" s="281" t="str">
        <f>IF($C119=$AB$15,'NTS ONLY_set_year'!$E$143," ")&amp;$D119</f>
        <v xml:space="preserve"> </v>
      </c>
      <c r="AV119" s="121">
        <f t="shared" ca="1" si="40"/>
        <v>0</v>
      </c>
      <c r="AW119" s="198">
        <f t="shared" ca="1" si="41"/>
        <v>0</v>
      </c>
      <c r="BM119" s="352">
        <f t="shared" si="39"/>
        <v>1</v>
      </c>
      <c r="BN119" s="281">
        <f t="shared" si="39"/>
        <v>1</v>
      </c>
      <c r="BQ119" s="251"/>
      <c r="BR119" s="7"/>
      <c r="BS119" s="7"/>
      <c r="BT119" s="7"/>
      <c r="IU119" s="16"/>
    </row>
    <row r="120" spans="2:255" ht="13.2">
      <c r="B120" s="9">
        <v>101</v>
      </c>
      <c r="C120" s="17"/>
      <c r="D120" s="72"/>
      <c r="E120" s="76"/>
      <c r="F120" s="76"/>
      <c r="G120" s="76" t="str">
        <f ca="1">IF(ISBLANK(D120),IF(AND(ISNUMBER(D119),D119&lt;$AF$5),'NTS ONLY_set_year'!$E$62,"- -"),IF(D120&gt;$AF$5,$AG$5,IF(D120&gt;D119+1,$AG$6,IF(D120&lt;D119,$AG$7,Y120))))</f>
        <v>- -</v>
      </c>
      <c r="H120" s="532"/>
      <c r="I120" s="621"/>
      <c r="J120" s="534"/>
      <c r="K120" s="555"/>
      <c r="L120" s="556"/>
      <c r="M120" s="557" t="str">
        <f t="shared" si="23"/>
        <v/>
      </c>
      <c r="N120" s="558"/>
      <c r="O120" s="559"/>
      <c r="P120" s="560"/>
      <c r="Q120" s="559"/>
      <c r="R120" s="18" t="str">
        <f t="shared" si="31"/>
        <v/>
      </c>
      <c r="S120" s="36"/>
      <c r="T120" s="120" t="str">
        <f ca="1">INDEX('NTS ONLY_set_year'!E:E,MATCH(TEXT($X120,"Ddd"),'NTS ONLY_set_year'!C:C,0))</f>
        <v>Dim</v>
      </c>
      <c r="U120" s="186" t="str">
        <f t="shared" ca="1" si="32"/>
        <v>juin</v>
      </c>
      <c r="X120" s="347">
        <f t="shared" ca="1" si="36"/>
        <v>46173</v>
      </c>
      <c r="Y120" s="452" t="str">
        <f t="shared" ca="1" si="33"/>
        <v>Dim. juin , 2026</v>
      </c>
      <c r="Z120" s="143">
        <f t="shared" ca="1" si="24"/>
        <v>30</v>
      </c>
      <c r="AA120" s="348">
        <f t="shared" ca="1" si="25"/>
        <v>6</v>
      </c>
      <c r="AB120" s="168">
        <f t="shared" ca="1" si="34"/>
        <v>0</v>
      </c>
      <c r="AF120" s="349">
        <f t="shared" ca="1" si="26"/>
        <v>99</v>
      </c>
      <c r="AG120" s="350">
        <f ca="1">MIN(AF120:AF$195)</f>
        <v>99</v>
      </c>
      <c r="AH120" s="121" t="b">
        <f t="shared" si="27"/>
        <v>0</v>
      </c>
      <c r="AJ120" s="191">
        <f t="shared" ca="1" si="28"/>
        <v>0</v>
      </c>
      <c r="AK120" s="168">
        <f>IF(D120&lt;&gt;D119,MAX(L$20:L119),AK119)</f>
        <v>0</v>
      </c>
      <c r="AL120" s="121" t="str">
        <f t="shared" si="37"/>
        <v>- -</v>
      </c>
      <c r="AM120" s="121">
        <f>MIN(K121:K$194)</f>
        <v>0</v>
      </c>
      <c r="AN120" s="352" t="str">
        <f t="shared" si="38"/>
        <v>- -</v>
      </c>
      <c r="AP120" s="352">
        <f t="shared" si="35"/>
        <v>999</v>
      </c>
      <c r="AQ120" s="143">
        <f t="shared" ca="1" si="29"/>
        <v>1</v>
      </c>
      <c r="AR120" s="143">
        <f t="shared" ca="1" si="30"/>
        <v>0</v>
      </c>
      <c r="AU120" s="281" t="str">
        <f>IF($C120=$AB$15,'NTS ONLY_set_year'!$E$143," ")&amp;$D120</f>
        <v xml:space="preserve"> </v>
      </c>
      <c r="AV120" s="121">
        <f t="shared" ca="1" si="40"/>
        <v>0</v>
      </c>
      <c r="AW120" s="198">
        <f t="shared" ca="1" si="41"/>
        <v>0</v>
      </c>
      <c r="BM120" s="352">
        <f t="shared" si="39"/>
        <v>1</v>
      </c>
      <c r="BN120" s="281">
        <f t="shared" si="39"/>
        <v>1</v>
      </c>
      <c r="BQ120" s="251"/>
      <c r="BR120" s="7"/>
      <c r="BS120" s="7"/>
      <c r="BT120" s="7"/>
      <c r="IU120" s="16"/>
    </row>
    <row r="121" spans="2:255" ht="13.2">
      <c r="B121" s="9">
        <v>102</v>
      </c>
      <c r="C121" s="17"/>
      <c r="D121" s="72"/>
      <c r="E121" s="76"/>
      <c r="F121" s="76"/>
      <c r="G121" s="76" t="str">
        <f ca="1">IF(ISBLANK(D121),IF(AND(ISNUMBER(D120),D120&lt;$AF$5),'NTS ONLY_set_year'!$E$62,"- -"),IF(D121&gt;$AF$5,$AG$5,IF(D121&gt;D120+1,$AG$6,IF(D121&lt;D120,$AG$7,Y121))))</f>
        <v>- -</v>
      </c>
      <c r="H121" s="532"/>
      <c r="I121" s="621"/>
      <c r="J121" s="534"/>
      <c r="K121" s="555"/>
      <c r="L121" s="556"/>
      <c r="M121" s="557" t="str">
        <f t="shared" si="23"/>
        <v/>
      </c>
      <c r="N121" s="558"/>
      <c r="O121" s="559"/>
      <c r="P121" s="560"/>
      <c r="Q121" s="559"/>
      <c r="R121" s="18" t="str">
        <f t="shared" si="31"/>
        <v/>
      </c>
      <c r="S121" s="36"/>
      <c r="T121" s="120" t="str">
        <f ca="1">INDEX('NTS ONLY_set_year'!E:E,MATCH(TEXT($X121,"Ddd"),'NTS ONLY_set_year'!C:C,0))</f>
        <v>Dim</v>
      </c>
      <c r="U121" s="186" t="str">
        <f t="shared" ca="1" si="32"/>
        <v>juin</v>
      </c>
      <c r="X121" s="347">
        <f t="shared" ca="1" si="36"/>
        <v>46173</v>
      </c>
      <c r="Y121" s="452" t="str">
        <f t="shared" ca="1" si="33"/>
        <v>Dim. juin , 2026</v>
      </c>
      <c r="Z121" s="143">
        <f t="shared" ca="1" si="24"/>
        <v>30</v>
      </c>
      <c r="AA121" s="348">
        <f t="shared" ca="1" si="25"/>
        <v>6</v>
      </c>
      <c r="AB121" s="168">
        <f t="shared" ca="1" si="34"/>
        <v>0</v>
      </c>
      <c r="AF121" s="349">
        <f t="shared" ca="1" si="26"/>
        <v>99</v>
      </c>
      <c r="AG121" s="350">
        <f ca="1">MIN(AF121:AF$195)</f>
        <v>99</v>
      </c>
      <c r="AH121" s="121" t="b">
        <f t="shared" si="27"/>
        <v>0</v>
      </c>
      <c r="AJ121" s="191">
        <f t="shared" ca="1" si="28"/>
        <v>0</v>
      </c>
      <c r="AK121" s="168">
        <f>IF(D121&lt;&gt;D120,MAX(L$20:L120),AK120)</f>
        <v>0</v>
      </c>
      <c r="AL121" s="121" t="str">
        <f t="shared" si="37"/>
        <v>- -</v>
      </c>
      <c r="AM121" s="121">
        <f>MIN(K122:K$194)</f>
        <v>0</v>
      </c>
      <c r="AN121" s="352" t="str">
        <f t="shared" si="38"/>
        <v>- -</v>
      </c>
      <c r="AP121" s="352">
        <f t="shared" si="35"/>
        <v>999</v>
      </c>
      <c r="AQ121" s="143">
        <f t="shared" ca="1" si="29"/>
        <v>1</v>
      </c>
      <c r="AR121" s="143">
        <f t="shared" ca="1" si="30"/>
        <v>0</v>
      </c>
      <c r="AU121" s="281" t="str">
        <f>IF($C121=$AB$15,'NTS ONLY_set_year'!$E$143," ")&amp;$D121</f>
        <v xml:space="preserve"> </v>
      </c>
      <c r="AV121" s="121">
        <f t="shared" ca="1" si="40"/>
        <v>0</v>
      </c>
      <c r="AW121" s="198">
        <f t="shared" ca="1" si="41"/>
        <v>0</v>
      </c>
      <c r="BM121" s="352">
        <f t="shared" si="39"/>
        <v>1</v>
      </c>
      <c r="BN121" s="281">
        <f t="shared" si="39"/>
        <v>1</v>
      </c>
      <c r="BQ121" s="251"/>
      <c r="BR121" s="7"/>
      <c r="BS121" s="7"/>
      <c r="BT121" s="7"/>
      <c r="IU121" s="16"/>
    </row>
    <row r="122" spans="2:255" ht="13.2">
      <c r="B122" s="9">
        <v>103</v>
      </c>
      <c r="C122" s="17"/>
      <c r="D122" s="72"/>
      <c r="E122" s="76"/>
      <c r="F122" s="76"/>
      <c r="G122" s="76" t="str">
        <f ca="1">IF(ISBLANK(D122),IF(AND(ISNUMBER(D121),D121&lt;$AF$5),'NTS ONLY_set_year'!$E$62,"- -"),IF(D122&gt;$AF$5,$AG$5,IF(D122&gt;D121+1,$AG$6,IF(D122&lt;D121,$AG$7,Y122))))</f>
        <v>- -</v>
      </c>
      <c r="H122" s="532"/>
      <c r="I122" s="621"/>
      <c r="J122" s="534"/>
      <c r="K122" s="555"/>
      <c r="L122" s="556"/>
      <c r="M122" s="557" t="str">
        <f t="shared" si="23"/>
        <v/>
      </c>
      <c r="N122" s="558"/>
      <c r="O122" s="559"/>
      <c r="P122" s="560"/>
      <c r="Q122" s="559"/>
      <c r="R122" s="18" t="str">
        <f t="shared" si="31"/>
        <v/>
      </c>
      <c r="S122" s="36"/>
      <c r="T122" s="120" t="str">
        <f ca="1">INDEX('NTS ONLY_set_year'!E:E,MATCH(TEXT($X122,"Ddd"),'NTS ONLY_set_year'!C:C,0))</f>
        <v>Dim</v>
      </c>
      <c r="U122" s="186" t="str">
        <f t="shared" ca="1" si="32"/>
        <v>juin</v>
      </c>
      <c r="X122" s="347">
        <f t="shared" ca="1" si="36"/>
        <v>46173</v>
      </c>
      <c r="Y122" s="452" t="str">
        <f t="shared" ca="1" si="33"/>
        <v>Dim. juin , 2026</v>
      </c>
      <c r="Z122" s="143">
        <f t="shared" ca="1" si="24"/>
        <v>30</v>
      </c>
      <c r="AA122" s="348">
        <f t="shared" ca="1" si="25"/>
        <v>6</v>
      </c>
      <c r="AB122" s="168">
        <f t="shared" ca="1" si="34"/>
        <v>0</v>
      </c>
      <c r="AF122" s="349">
        <f t="shared" ca="1" si="26"/>
        <v>99</v>
      </c>
      <c r="AG122" s="350">
        <f ca="1">MIN(AF122:AF$195)</f>
        <v>99</v>
      </c>
      <c r="AH122" s="121" t="b">
        <f t="shared" si="27"/>
        <v>0</v>
      </c>
      <c r="AJ122" s="191">
        <f t="shared" ca="1" si="28"/>
        <v>0</v>
      </c>
      <c r="AK122" s="168">
        <f>IF(D122&lt;&gt;D121,MAX(L$20:L121),AK121)</f>
        <v>0</v>
      </c>
      <c r="AL122" s="121" t="str">
        <f t="shared" si="37"/>
        <v>- -</v>
      </c>
      <c r="AM122" s="121">
        <f>MIN(K123:K$194)</f>
        <v>0</v>
      </c>
      <c r="AN122" s="352" t="str">
        <f t="shared" si="38"/>
        <v>- -</v>
      </c>
      <c r="AP122" s="352">
        <f t="shared" si="35"/>
        <v>999</v>
      </c>
      <c r="AQ122" s="143">
        <f t="shared" ca="1" si="29"/>
        <v>1</v>
      </c>
      <c r="AR122" s="143">
        <f t="shared" ca="1" si="30"/>
        <v>0</v>
      </c>
      <c r="AU122" s="281" t="str">
        <f>IF($C122=$AB$15,'NTS ONLY_set_year'!$E$143," ")&amp;$D122</f>
        <v xml:space="preserve"> </v>
      </c>
      <c r="AV122" s="121">
        <f t="shared" ca="1" si="40"/>
        <v>0</v>
      </c>
      <c r="AW122" s="198">
        <f t="shared" ca="1" si="41"/>
        <v>0</v>
      </c>
      <c r="BM122" s="352">
        <f t="shared" si="39"/>
        <v>1</v>
      </c>
      <c r="BN122" s="281">
        <f t="shared" si="39"/>
        <v>1</v>
      </c>
      <c r="BQ122" s="251"/>
      <c r="BR122" s="7"/>
      <c r="BS122" s="7"/>
      <c r="BT122" s="7"/>
      <c r="IU122" s="16"/>
    </row>
    <row r="123" spans="2:255" ht="13.2">
      <c r="B123" s="9">
        <v>104</v>
      </c>
      <c r="C123" s="17"/>
      <c r="D123" s="72"/>
      <c r="E123" s="76"/>
      <c r="F123" s="76"/>
      <c r="G123" s="76" t="str">
        <f ca="1">IF(ISBLANK(D123),IF(AND(ISNUMBER(D122),D122&lt;$AF$5),'NTS ONLY_set_year'!$E$62,"- -"),IF(D123&gt;$AF$5,$AG$5,IF(D123&gt;D122+1,$AG$6,IF(D123&lt;D122,$AG$7,Y123))))</f>
        <v>- -</v>
      </c>
      <c r="H123" s="532"/>
      <c r="I123" s="621"/>
      <c r="J123" s="534"/>
      <c r="K123" s="555"/>
      <c r="L123" s="556"/>
      <c r="M123" s="557" t="str">
        <f t="shared" si="23"/>
        <v/>
      </c>
      <c r="N123" s="558"/>
      <c r="O123" s="559"/>
      <c r="P123" s="560"/>
      <c r="Q123" s="559"/>
      <c r="R123" s="18" t="str">
        <f t="shared" si="31"/>
        <v/>
      </c>
      <c r="S123" s="36"/>
      <c r="T123" s="120" t="str">
        <f ca="1">INDEX('NTS ONLY_set_year'!E:E,MATCH(TEXT($X123,"Ddd"),'NTS ONLY_set_year'!C:C,0))</f>
        <v>Dim</v>
      </c>
      <c r="U123" s="186" t="str">
        <f t="shared" ca="1" si="32"/>
        <v>juin</v>
      </c>
      <c r="X123" s="347">
        <f t="shared" ca="1" si="36"/>
        <v>46173</v>
      </c>
      <c r="Y123" s="452" t="str">
        <f t="shared" ca="1" si="33"/>
        <v>Dim. juin , 2026</v>
      </c>
      <c r="Z123" s="143">
        <f t="shared" ca="1" si="24"/>
        <v>30</v>
      </c>
      <c r="AA123" s="348">
        <f t="shared" ca="1" si="25"/>
        <v>6</v>
      </c>
      <c r="AB123" s="168">
        <f t="shared" ca="1" si="34"/>
        <v>0</v>
      </c>
      <c r="AF123" s="349">
        <f t="shared" ca="1" si="26"/>
        <v>99</v>
      </c>
      <c r="AG123" s="350">
        <f ca="1">MIN(AF123:AF$195)</f>
        <v>99</v>
      </c>
      <c r="AH123" s="121" t="b">
        <f t="shared" si="27"/>
        <v>0</v>
      </c>
      <c r="AJ123" s="191">
        <f t="shared" ca="1" si="28"/>
        <v>0</v>
      </c>
      <c r="AK123" s="168">
        <f>IF(D123&lt;&gt;D122,MAX(L$20:L122),AK122)</f>
        <v>0</v>
      </c>
      <c r="AL123" s="121" t="str">
        <f t="shared" si="37"/>
        <v>- -</v>
      </c>
      <c r="AM123" s="121">
        <f>MIN(K124:K$194)</f>
        <v>0</v>
      </c>
      <c r="AN123" s="352" t="str">
        <f t="shared" si="38"/>
        <v>- -</v>
      </c>
      <c r="AP123" s="352">
        <f t="shared" si="35"/>
        <v>999</v>
      </c>
      <c r="AQ123" s="143">
        <f t="shared" ca="1" si="29"/>
        <v>1</v>
      </c>
      <c r="AR123" s="143">
        <f t="shared" ca="1" si="30"/>
        <v>0</v>
      </c>
      <c r="AU123" s="281" t="str">
        <f>IF($C123=$AB$15,'NTS ONLY_set_year'!$E$143," ")&amp;$D123</f>
        <v xml:space="preserve"> </v>
      </c>
      <c r="AV123" s="121">
        <f t="shared" ca="1" si="40"/>
        <v>0</v>
      </c>
      <c r="AW123" s="198">
        <f t="shared" ca="1" si="41"/>
        <v>0</v>
      </c>
      <c r="BM123" s="352">
        <f t="shared" si="39"/>
        <v>1</v>
      </c>
      <c r="BN123" s="281">
        <f t="shared" si="39"/>
        <v>1</v>
      </c>
      <c r="BQ123" s="251"/>
      <c r="BR123" s="7"/>
      <c r="BS123" s="7"/>
      <c r="BT123" s="7"/>
      <c r="IU123" s="16"/>
    </row>
    <row r="124" spans="2:255" ht="13.2">
      <c r="B124" s="9">
        <v>105</v>
      </c>
      <c r="C124" s="17"/>
      <c r="D124" s="72"/>
      <c r="E124" s="76"/>
      <c r="F124" s="76"/>
      <c r="G124" s="76" t="str">
        <f ca="1">IF(ISBLANK(D124),IF(AND(ISNUMBER(D123),D123&lt;$AF$5),'NTS ONLY_set_year'!$E$62,"- -"),IF(D124&gt;$AF$5,$AG$5,IF(D124&gt;D123+1,$AG$6,IF(D124&lt;D123,$AG$7,Y124))))</f>
        <v>- -</v>
      </c>
      <c r="H124" s="532"/>
      <c r="I124" s="621"/>
      <c r="J124" s="534"/>
      <c r="K124" s="555"/>
      <c r="L124" s="556"/>
      <c r="M124" s="557" t="str">
        <f t="shared" si="23"/>
        <v/>
      </c>
      <c r="N124" s="558"/>
      <c r="O124" s="559"/>
      <c r="P124" s="560"/>
      <c r="Q124" s="559"/>
      <c r="R124" s="18" t="str">
        <f t="shared" si="31"/>
        <v/>
      </c>
      <c r="S124" s="36"/>
      <c r="T124" s="120" t="str">
        <f ca="1">INDEX('NTS ONLY_set_year'!E:E,MATCH(TEXT($X124,"Ddd"),'NTS ONLY_set_year'!C:C,0))</f>
        <v>Dim</v>
      </c>
      <c r="U124" s="186" t="str">
        <f t="shared" ca="1" si="32"/>
        <v>juin</v>
      </c>
      <c r="X124" s="347">
        <f t="shared" ca="1" si="36"/>
        <v>46173</v>
      </c>
      <c r="Y124" s="452" t="str">
        <f t="shared" ca="1" si="33"/>
        <v>Dim. juin , 2026</v>
      </c>
      <c r="Z124" s="143">
        <f t="shared" ca="1" si="24"/>
        <v>30</v>
      </c>
      <c r="AA124" s="348">
        <f t="shared" ca="1" si="25"/>
        <v>6</v>
      </c>
      <c r="AB124" s="168">
        <f t="shared" ca="1" si="34"/>
        <v>0</v>
      </c>
      <c r="AF124" s="349">
        <f t="shared" ca="1" si="26"/>
        <v>99</v>
      </c>
      <c r="AG124" s="350">
        <f ca="1">MIN(AF124:AF$195)</f>
        <v>99</v>
      </c>
      <c r="AH124" s="121" t="b">
        <f t="shared" si="27"/>
        <v>0</v>
      </c>
      <c r="AJ124" s="191">
        <f t="shared" ca="1" si="28"/>
        <v>0</v>
      </c>
      <c r="AK124" s="168">
        <f>IF(D124&lt;&gt;D123,MAX(L$20:L123),AK123)</f>
        <v>0</v>
      </c>
      <c r="AL124" s="121" t="str">
        <f t="shared" si="37"/>
        <v>- -</v>
      </c>
      <c r="AM124" s="121">
        <f>MIN(K125:K$194)</f>
        <v>0</v>
      </c>
      <c r="AN124" s="352" t="str">
        <f t="shared" si="38"/>
        <v>- -</v>
      </c>
      <c r="AP124" s="352">
        <f t="shared" si="35"/>
        <v>999</v>
      </c>
      <c r="AQ124" s="143">
        <f t="shared" ca="1" si="29"/>
        <v>1</v>
      </c>
      <c r="AR124" s="143">
        <f t="shared" ca="1" si="30"/>
        <v>0</v>
      </c>
      <c r="AU124" s="281" t="str">
        <f>IF($C124=$AB$15,'NTS ONLY_set_year'!$E$143," ")&amp;$D124</f>
        <v xml:space="preserve"> </v>
      </c>
      <c r="AV124" s="121">
        <f t="shared" ca="1" si="40"/>
        <v>0</v>
      </c>
      <c r="AW124" s="198">
        <f t="shared" ca="1" si="41"/>
        <v>0</v>
      </c>
      <c r="BM124" s="352">
        <f t="shared" si="39"/>
        <v>1</v>
      </c>
      <c r="BN124" s="281">
        <f t="shared" si="39"/>
        <v>1</v>
      </c>
      <c r="BQ124" s="251"/>
      <c r="BR124" s="7"/>
      <c r="BS124" s="7"/>
      <c r="BT124" s="7"/>
      <c r="IU124" s="16"/>
    </row>
    <row r="125" spans="2:255" ht="13.2">
      <c r="B125" s="9">
        <v>106</v>
      </c>
      <c r="C125" s="17"/>
      <c r="D125" s="72"/>
      <c r="E125" s="76"/>
      <c r="F125" s="76"/>
      <c r="G125" s="76" t="str">
        <f ca="1">IF(ISBLANK(D125),IF(AND(ISNUMBER(D124),D124&lt;$AF$5),'NTS ONLY_set_year'!$E$62,"- -"),IF(D125&gt;$AF$5,$AG$5,IF(D125&gt;D124+1,$AG$6,IF(D125&lt;D124,$AG$7,Y125))))</f>
        <v>- -</v>
      </c>
      <c r="H125" s="532"/>
      <c r="I125" s="621"/>
      <c r="J125" s="534"/>
      <c r="K125" s="555"/>
      <c r="L125" s="556"/>
      <c r="M125" s="557" t="str">
        <f t="shared" si="23"/>
        <v/>
      </c>
      <c r="N125" s="558"/>
      <c r="O125" s="559"/>
      <c r="P125" s="560"/>
      <c r="Q125" s="559"/>
      <c r="R125" s="18" t="str">
        <f t="shared" si="31"/>
        <v/>
      </c>
      <c r="S125" s="36"/>
      <c r="T125" s="120" t="str">
        <f ca="1">INDEX('NTS ONLY_set_year'!E:E,MATCH(TEXT($X125,"Ddd"),'NTS ONLY_set_year'!C:C,0))</f>
        <v>Dim</v>
      </c>
      <c r="U125" s="186" t="str">
        <f t="shared" ca="1" si="32"/>
        <v>juin</v>
      </c>
      <c r="X125" s="347">
        <f t="shared" ca="1" si="36"/>
        <v>46173</v>
      </c>
      <c r="Y125" s="452" t="str">
        <f t="shared" ca="1" si="33"/>
        <v>Dim. juin , 2026</v>
      </c>
      <c r="Z125" s="143">
        <f t="shared" ca="1" si="24"/>
        <v>30</v>
      </c>
      <c r="AA125" s="348">
        <f t="shared" ca="1" si="25"/>
        <v>6</v>
      </c>
      <c r="AB125" s="168">
        <f t="shared" ca="1" si="34"/>
        <v>0</v>
      </c>
      <c r="AF125" s="349">
        <f t="shared" ca="1" si="26"/>
        <v>99</v>
      </c>
      <c r="AG125" s="350">
        <f ca="1">MIN(AF125:AF$195)</f>
        <v>99</v>
      </c>
      <c r="AH125" s="121" t="b">
        <f t="shared" si="27"/>
        <v>0</v>
      </c>
      <c r="AJ125" s="191">
        <f t="shared" ca="1" si="28"/>
        <v>0</v>
      </c>
      <c r="AK125" s="168">
        <f>IF(D125&lt;&gt;D124,MAX(L$20:L124),AK124)</f>
        <v>0</v>
      </c>
      <c r="AL125" s="121" t="str">
        <f t="shared" si="37"/>
        <v>- -</v>
      </c>
      <c r="AM125" s="121">
        <f>MIN(K126:K$194)</f>
        <v>0</v>
      </c>
      <c r="AN125" s="352" t="str">
        <f t="shared" si="38"/>
        <v>- -</v>
      </c>
      <c r="AP125" s="352">
        <f t="shared" si="35"/>
        <v>999</v>
      </c>
      <c r="AQ125" s="143">
        <f t="shared" ca="1" si="29"/>
        <v>1</v>
      </c>
      <c r="AR125" s="143">
        <f t="shared" ca="1" si="30"/>
        <v>0</v>
      </c>
      <c r="AU125" s="281" t="str">
        <f>IF($C125=$AB$15,'NTS ONLY_set_year'!$E$143," ")&amp;$D125</f>
        <v xml:space="preserve"> </v>
      </c>
      <c r="AV125" s="121">
        <f t="shared" ca="1" si="40"/>
        <v>0</v>
      </c>
      <c r="AW125" s="198">
        <f t="shared" ca="1" si="41"/>
        <v>0</v>
      </c>
      <c r="BM125" s="352">
        <f t="shared" si="39"/>
        <v>1</v>
      </c>
      <c r="BN125" s="281">
        <f t="shared" si="39"/>
        <v>1</v>
      </c>
      <c r="BQ125" s="251"/>
      <c r="BR125" s="7"/>
      <c r="BS125" s="7"/>
      <c r="BT125" s="7"/>
      <c r="IU125" s="16"/>
    </row>
    <row r="126" spans="2:255" ht="13.2">
      <c r="B126" s="9">
        <v>107</v>
      </c>
      <c r="C126" s="17"/>
      <c r="D126" s="72"/>
      <c r="E126" s="76"/>
      <c r="F126" s="76"/>
      <c r="G126" s="76" t="str">
        <f ca="1">IF(ISBLANK(D126),IF(AND(ISNUMBER(D125),D125&lt;$AF$5),'NTS ONLY_set_year'!$E$62,"- -"),IF(D126&gt;$AF$5,$AG$5,IF(D126&gt;D125+1,$AG$6,IF(D126&lt;D125,$AG$7,Y126))))</f>
        <v>- -</v>
      </c>
      <c r="H126" s="532"/>
      <c r="I126" s="621"/>
      <c r="J126" s="534"/>
      <c r="K126" s="555"/>
      <c r="L126" s="556"/>
      <c r="M126" s="557" t="str">
        <f t="shared" si="23"/>
        <v/>
      </c>
      <c r="N126" s="558"/>
      <c r="O126" s="559"/>
      <c r="P126" s="560"/>
      <c r="Q126" s="559"/>
      <c r="R126" s="18" t="str">
        <f t="shared" si="31"/>
        <v/>
      </c>
      <c r="S126" s="36"/>
      <c r="T126" s="120" t="str">
        <f ca="1">INDEX('NTS ONLY_set_year'!E:E,MATCH(TEXT($X126,"Ddd"),'NTS ONLY_set_year'!C:C,0))</f>
        <v>Dim</v>
      </c>
      <c r="U126" s="186" t="str">
        <f t="shared" ca="1" si="32"/>
        <v>juin</v>
      </c>
      <c r="X126" s="347">
        <f t="shared" ca="1" si="36"/>
        <v>46173</v>
      </c>
      <c r="Y126" s="452" t="str">
        <f t="shared" ca="1" si="33"/>
        <v>Dim. juin , 2026</v>
      </c>
      <c r="Z126" s="143">
        <f t="shared" ca="1" si="24"/>
        <v>30</v>
      </c>
      <c r="AA126" s="348">
        <f t="shared" ca="1" si="25"/>
        <v>6</v>
      </c>
      <c r="AB126" s="168">
        <f t="shared" ca="1" si="34"/>
        <v>0</v>
      </c>
      <c r="AF126" s="349">
        <f t="shared" ca="1" si="26"/>
        <v>99</v>
      </c>
      <c r="AG126" s="350">
        <f ca="1">MIN(AF126:AF$195)</f>
        <v>99</v>
      </c>
      <c r="AH126" s="121" t="b">
        <f t="shared" si="27"/>
        <v>0</v>
      </c>
      <c r="AJ126" s="191">
        <f t="shared" ca="1" si="28"/>
        <v>0</v>
      </c>
      <c r="AK126" s="168">
        <f>IF(D126&lt;&gt;D125,MAX(L$20:L125),AK125)</f>
        <v>0</v>
      </c>
      <c r="AL126" s="121" t="str">
        <f t="shared" si="37"/>
        <v>- -</v>
      </c>
      <c r="AM126" s="121">
        <f>MIN(K127:K$194)</f>
        <v>0</v>
      </c>
      <c r="AN126" s="352" t="str">
        <f t="shared" si="38"/>
        <v>- -</v>
      </c>
      <c r="AP126" s="352">
        <f t="shared" si="35"/>
        <v>999</v>
      </c>
      <c r="AQ126" s="143">
        <f t="shared" ca="1" si="29"/>
        <v>1</v>
      </c>
      <c r="AR126" s="143">
        <f t="shared" ca="1" si="30"/>
        <v>0</v>
      </c>
      <c r="AU126" s="281" t="str">
        <f>IF($C126=$AB$15,'NTS ONLY_set_year'!$E$143," ")&amp;$D126</f>
        <v xml:space="preserve"> </v>
      </c>
      <c r="AV126" s="121">
        <f t="shared" ca="1" si="40"/>
        <v>0</v>
      </c>
      <c r="AW126" s="198">
        <f t="shared" ca="1" si="41"/>
        <v>0</v>
      </c>
      <c r="BM126" s="352">
        <f t="shared" si="39"/>
        <v>1</v>
      </c>
      <c r="BN126" s="281">
        <f t="shared" si="39"/>
        <v>1</v>
      </c>
      <c r="BQ126" s="251"/>
      <c r="BR126" s="7"/>
      <c r="BS126" s="7"/>
      <c r="BT126" s="7"/>
      <c r="IU126" s="16"/>
    </row>
    <row r="127" spans="2:255" ht="13.2">
      <c r="B127" s="9">
        <v>108</v>
      </c>
      <c r="C127" s="17"/>
      <c r="D127" s="72"/>
      <c r="E127" s="76"/>
      <c r="F127" s="76"/>
      <c r="G127" s="76" t="str">
        <f ca="1">IF(ISBLANK(D127),IF(AND(ISNUMBER(D126),D126&lt;$AF$5),'NTS ONLY_set_year'!$E$62,"- -"),IF(D127&gt;$AF$5,$AG$5,IF(D127&gt;D126+1,$AG$6,IF(D127&lt;D126,$AG$7,Y127))))</f>
        <v>- -</v>
      </c>
      <c r="H127" s="532"/>
      <c r="I127" s="621"/>
      <c r="J127" s="534"/>
      <c r="K127" s="555"/>
      <c r="L127" s="556"/>
      <c r="M127" s="557" t="str">
        <f t="shared" si="23"/>
        <v/>
      </c>
      <c r="N127" s="558"/>
      <c r="O127" s="559"/>
      <c r="P127" s="560"/>
      <c r="Q127" s="559"/>
      <c r="R127" s="18" t="str">
        <f t="shared" si="31"/>
        <v/>
      </c>
      <c r="S127" s="36"/>
      <c r="T127" s="120" t="str">
        <f ca="1">INDEX('NTS ONLY_set_year'!E:E,MATCH(TEXT($X127,"Ddd"),'NTS ONLY_set_year'!C:C,0))</f>
        <v>Dim</v>
      </c>
      <c r="U127" s="186" t="str">
        <f t="shared" ca="1" si="32"/>
        <v>juin</v>
      </c>
      <c r="X127" s="347">
        <f t="shared" ca="1" si="36"/>
        <v>46173</v>
      </c>
      <c r="Y127" s="452" t="str">
        <f t="shared" ca="1" si="33"/>
        <v>Dim. juin , 2026</v>
      </c>
      <c r="Z127" s="143">
        <f t="shared" ca="1" si="24"/>
        <v>30</v>
      </c>
      <c r="AA127" s="348">
        <f t="shared" ca="1" si="25"/>
        <v>6</v>
      </c>
      <c r="AB127" s="168">
        <f t="shared" ca="1" si="34"/>
        <v>0</v>
      </c>
      <c r="AF127" s="349">
        <f t="shared" ca="1" si="26"/>
        <v>99</v>
      </c>
      <c r="AG127" s="350">
        <f ca="1">MIN(AF127:AF$195)</f>
        <v>99</v>
      </c>
      <c r="AH127" s="121" t="b">
        <f t="shared" si="27"/>
        <v>0</v>
      </c>
      <c r="AJ127" s="191">
        <f t="shared" ca="1" si="28"/>
        <v>0</v>
      </c>
      <c r="AK127" s="168">
        <f>IF(D127&lt;&gt;D126,MAX(L$20:L126),AK126)</f>
        <v>0</v>
      </c>
      <c r="AL127" s="121" t="str">
        <f t="shared" si="37"/>
        <v>- -</v>
      </c>
      <c r="AM127" s="121">
        <f>MIN(K128:K$194)</f>
        <v>0</v>
      </c>
      <c r="AN127" s="352" t="str">
        <f t="shared" si="38"/>
        <v>- -</v>
      </c>
      <c r="AP127" s="352">
        <f t="shared" si="35"/>
        <v>999</v>
      </c>
      <c r="AQ127" s="143">
        <f t="shared" ca="1" si="29"/>
        <v>1</v>
      </c>
      <c r="AR127" s="143">
        <f t="shared" ca="1" si="30"/>
        <v>0</v>
      </c>
      <c r="AU127" s="281" t="str">
        <f>IF($C127=$AB$15,'NTS ONLY_set_year'!$E$143," ")&amp;$D127</f>
        <v xml:space="preserve"> </v>
      </c>
      <c r="AV127" s="121">
        <f t="shared" ca="1" si="40"/>
        <v>0</v>
      </c>
      <c r="AW127" s="198">
        <f t="shared" ca="1" si="41"/>
        <v>0</v>
      </c>
      <c r="BM127" s="352">
        <f t="shared" si="39"/>
        <v>1</v>
      </c>
      <c r="BN127" s="281">
        <f t="shared" si="39"/>
        <v>1</v>
      </c>
      <c r="BQ127" s="251"/>
      <c r="BR127" s="7"/>
      <c r="BS127" s="7"/>
      <c r="BT127" s="7"/>
      <c r="IU127" s="16"/>
    </row>
    <row r="128" spans="2:255" ht="13.2">
      <c r="B128" s="9">
        <v>109</v>
      </c>
      <c r="C128" s="17"/>
      <c r="D128" s="72"/>
      <c r="E128" s="76"/>
      <c r="F128" s="76"/>
      <c r="G128" s="76" t="str">
        <f ca="1">IF(ISBLANK(D128),IF(AND(ISNUMBER(D127),D127&lt;$AF$5),'NTS ONLY_set_year'!$E$62,"- -"),IF(D128&gt;$AF$5,$AG$5,IF(D128&gt;D127+1,$AG$6,IF(D128&lt;D127,$AG$7,Y128))))</f>
        <v>- -</v>
      </c>
      <c r="H128" s="532"/>
      <c r="I128" s="621"/>
      <c r="J128" s="534"/>
      <c r="K128" s="555"/>
      <c r="L128" s="556"/>
      <c r="M128" s="557" t="str">
        <f t="shared" si="23"/>
        <v/>
      </c>
      <c r="N128" s="558"/>
      <c r="O128" s="559"/>
      <c r="P128" s="560"/>
      <c r="Q128" s="559"/>
      <c r="R128" s="18" t="str">
        <f t="shared" si="31"/>
        <v/>
      </c>
      <c r="S128" s="36"/>
      <c r="T128" s="120" t="str">
        <f ca="1">INDEX('NTS ONLY_set_year'!E:E,MATCH(TEXT($X128,"Ddd"),'NTS ONLY_set_year'!C:C,0))</f>
        <v>Dim</v>
      </c>
      <c r="U128" s="186" t="str">
        <f t="shared" ca="1" si="32"/>
        <v>juin</v>
      </c>
      <c r="X128" s="347">
        <f t="shared" ca="1" si="36"/>
        <v>46173</v>
      </c>
      <c r="Y128" s="452" t="str">
        <f t="shared" ca="1" si="33"/>
        <v>Dim. juin , 2026</v>
      </c>
      <c r="Z128" s="143">
        <f t="shared" ca="1" si="24"/>
        <v>30</v>
      </c>
      <c r="AA128" s="348">
        <f t="shared" ca="1" si="25"/>
        <v>6</v>
      </c>
      <c r="AB128" s="168">
        <f t="shared" ca="1" si="34"/>
        <v>0</v>
      </c>
      <c r="AF128" s="349">
        <f t="shared" ca="1" si="26"/>
        <v>99</v>
      </c>
      <c r="AG128" s="350">
        <f ca="1">MIN(AF128:AF$195)</f>
        <v>99</v>
      </c>
      <c r="AH128" s="121" t="b">
        <f t="shared" si="27"/>
        <v>0</v>
      </c>
      <c r="AJ128" s="191">
        <f t="shared" ca="1" si="28"/>
        <v>0</v>
      </c>
      <c r="AK128" s="168">
        <f>IF(D128&lt;&gt;D127,MAX(L$20:L127),AK127)</f>
        <v>0</v>
      </c>
      <c r="AL128" s="121" t="str">
        <f t="shared" si="37"/>
        <v>- -</v>
      </c>
      <c r="AM128" s="121">
        <f>MIN(K129:K$194)</f>
        <v>0</v>
      </c>
      <c r="AN128" s="352" t="str">
        <f t="shared" si="38"/>
        <v>- -</v>
      </c>
      <c r="AP128" s="352">
        <f t="shared" si="35"/>
        <v>999</v>
      </c>
      <c r="AQ128" s="143">
        <f t="shared" ca="1" si="29"/>
        <v>1</v>
      </c>
      <c r="AR128" s="143">
        <f t="shared" ca="1" si="30"/>
        <v>0</v>
      </c>
      <c r="AU128" s="281" t="str">
        <f>IF($C128=$AB$15,'NTS ONLY_set_year'!$E$143," ")&amp;$D128</f>
        <v xml:space="preserve"> </v>
      </c>
      <c r="AV128" s="121">
        <f t="shared" ca="1" si="40"/>
        <v>0</v>
      </c>
      <c r="AW128" s="198">
        <f t="shared" ca="1" si="41"/>
        <v>0</v>
      </c>
      <c r="BM128" s="352">
        <f t="shared" si="39"/>
        <v>1</v>
      </c>
      <c r="BN128" s="281">
        <f t="shared" si="39"/>
        <v>1</v>
      </c>
      <c r="BQ128" s="251"/>
      <c r="BR128" s="7"/>
      <c r="BS128" s="7"/>
      <c r="BT128" s="7"/>
      <c r="IU128" s="16"/>
    </row>
    <row r="129" spans="2:255" ht="13.2">
      <c r="B129" s="9">
        <v>110</v>
      </c>
      <c r="C129" s="17"/>
      <c r="D129" s="72"/>
      <c r="E129" s="76"/>
      <c r="F129" s="76"/>
      <c r="G129" s="76" t="str">
        <f ca="1">IF(ISBLANK(D129),IF(AND(ISNUMBER(D128),D128&lt;$AF$5),'NTS ONLY_set_year'!$E$62,"- -"),IF(D129&gt;$AF$5,$AG$5,IF(D129&gt;D128+1,$AG$6,IF(D129&lt;D128,$AG$7,Y129))))</f>
        <v>- -</v>
      </c>
      <c r="H129" s="532"/>
      <c r="I129" s="621"/>
      <c r="J129" s="534"/>
      <c r="K129" s="555"/>
      <c r="L129" s="556"/>
      <c r="M129" s="557" t="str">
        <f t="shared" si="23"/>
        <v/>
      </c>
      <c r="N129" s="558"/>
      <c r="O129" s="559"/>
      <c r="P129" s="560"/>
      <c r="Q129" s="559"/>
      <c r="R129" s="18" t="str">
        <f t="shared" si="31"/>
        <v/>
      </c>
      <c r="S129" s="36"/>
      <c r="T129" s="120" t="str">
        <f ca="1">INDEX('NTS ONLY_set_year'!E:E,MATCH(TEXT($X129,"Ddd"),'NTS ONLY_set_year'!C:C,0))</f>
        <v>Dim</v>
      </c>
      <c r="U129" s="186" t="str">
        <f t="shared" ca="1" si="32"/>
        <v>juin</v>
      </c>
      <c r="X129" s="347">
        <f t="shared" ca="1" si="36"/>
        <v>46173</v>
      </c>
      <c r="Y129" s="452" t="str">
        <f t="shared" ca="1" si="33"/>
        <v>Dim. juin , 2026</v>
      </c>
      <c r="Z129" s="143">
        <f t="shared" ca="1" si="24"/>
        <v>30</v>
      </c>
      <c r="AA129" s="348">
        <f t="shared" ca="1" si="25"/>
        <v>6</v>
      </c>
      <c r="AB129" s="168">
        <f t="shared" ca="1" si="34"/>
        <v>0</v>
      </c>
      <c r="AF129" s="349">
        <f t="shared" ca="1" si="26"/>
        <v>99</v>
      </c>
      <c r="AG129" s="350">
        <f ca="1">MIN(AF129:AF$195)</f>
        <v>99</v>
      </c>
      <c r="AH129" s="121" t="b">
        <f t="shared" si="27"/>
        <v>0</v>
      </c>
      <c r="AJ129" s="191">
        <f t="shared" ca="1" si="28"/>
        <v>0</v>
      </c>
      <c r="AK129" s="168">
        <f>IF(D129&lt;&gt;D128,MAX(L$20:L128),AK128)</f>
        <v>0</v>
      </c>
      <c r="AL129" s="121" t="str">
        <f t="shared" si="37"/>
        <v>- -</v>
      </c>
      <c r="AM129" s="121">
        <f>MIN(K130:K$194)</f>
        <v>0</v>
      </c>
      <c r="AN129" s="352" t="str">
        <f t="shared" si="38"/>
        <v>- -</v>
      </c>
      <c r="AP129" s="352">
        <f t="shared" si="35"/>
        <v>999</v>
      </c>
      <c r="AQ129" s="143">
        <f t="shared" ca="1" si="29"/>
        <v>1</v>
      </c>
      <c r="AR129" s="143">
        <f t="shared" ca="1" si="30"/>
        <v>0</v>
      </c>
      <c r="AU129" s="281" t="str">
        <f>IF($C129=$AB$15,'NTS ONLY_set_year'!$E$143," ")&amp;$D129</f>
        <v xml:space="preserve"> </v>
      </c>
      <c r="AV129" s="121">
        <f t="shared" ca="1" si="40"/>
        <v>0</v>
      </c>
      <c r="AW129" s="198">
        <f t="shared" ca="1" si="41"/>
        <v>0</v>
      </c>
      <c r="BM129" s="352">
        <f t="shared" si="39"/>
        <v>1</v>
      </c>
      <c r="BN129" s="281">
        <f t="shared" si="39"/>
        <v>1</v>
      </c>
      <c r="BQ129" s="251"/>
      <c r="BR129" s="7"/>
      <c r="BS129" s="7"/>
      <c r="BT129" s="7"/>
      <c r="IU129" s="16"/>
    </row>
    <row r="130" spans="2:255" ht="13.2">
      <c r="B130" s="9">
        <v>111</v>
      </c>
      <c r="C130" s="17"/>
      <c r="D130" s="72"/>
      <c r="E130" s="76"/>
      <c r="F130" s="76"/>
      <c r="G130" s="76" t="str">
        <f ca="1">IF(ISBLANK(D130),IF(AND(ISNUMBER(D129),D129&lt;$AF$5),'NTS ONLY_set_year'!$E$62,"- -"),IF(D130&gt;$AF$5,$AG$5,IF(D130&gt;D129+1,$AG$6,IF(D130&lt;D129,$AG$7,Y130))))</f>
        <v>- -</v>
      </c>
      <c r="H130" s="532"/>
      <c r="I130" s="621"/>
      <c r="J130" s="534"/>
      <c r="K130" s="555"/>
      <c r="L130" s="556"/>
      <c r="M130" s="557" t="str">
        <f t="shared" si="23"/>
        <v/>
      </c>
      <c r="N130" s="558"/>
      <c r="O130" s="559"/>
      <c r="P130" s="560"/>
      <c r="Q130" s="559"/>
      <c r="R130" s="18" t="str">
        <f t="shared" si="31"/>
        <v/>
      </c>
      <c r="S130" s="36"/>
      <c r="T130" s="120" t="str">
        <f ca="1">INDEX('NTS ONLY_set_year'!E:E,MATCH(TEXT($X130,"Ddd"),'NTS ONLY_set_year'!C:C,0))</f>
        <v>Dim</v>
      </c>
      <c r="U130" s="186" t="str">
        <f t="shared" ca="1" si="32"/>
        <v>juin</v>
      </c>
      <c r="X130" s="347">
        <f t="shared" ca="1" si="36"/>
        <v>46173</v>
      </c>
      <c r="Y130" s="452" t="str">
        <f t="shared" ca="1" si="33"/>
        <v>Dim. juin , 2026</v>
      </c>
      <c r="Z130" s="143">
        <f t="shared" ca="1" si="24"/>
        <v>30</v>
      </c>
      <c r="AA130" s="348">
        <f t="shared" ca="1" si="25"/>
        <v>6</v>
      </c>
      <c r="AB130" s="168">
        <f t="shared" ca="1" si="34"/>
        <v>0</v>
      </c>
      <c r="AF130" s="349">
        <f t="shared" ca="1" si="26"/>
        <v>99</v>
      </c>
      <c r="AG130" s="350">
        <f ca="1">MIN(AF130:AF$195)</f>
        <v>99</v>
      </c>
      <c r="AH130" s="121" t="b">
        <f t="shared" si="27"/>
        <v>0</v>
      </c>
      <c r="AJ130" s="191">
        <f t="shared" ca="1" si="28"/>
        <v>0</v>
      </c>
      <c r="AK130" s="168">
        <f>IF(D130&lt;&gt;D129,MAX(L$20:L129),AK129)</f>
        <v>0</v>
      </c>
      <c r="AL130" s="121" t="str">
        <f t="shared" si="37"/>
        <v>- -</v>
      </c>
      <c r="AM130" s="121">
        <f>MIN(K131:K$194)</f>
        <v>0</v>
      </c>
      <c r="AN130" s="352" t="str">
        <f t="shared" si="38"/>
        <v>- -</v>
      </c>
      <c r="AP130" s="352">
        <f t="shared" si="35"/>
        <v>999</v>
      </c>
      <c r="AQ130" s="143">
        <f t="shared" ca="1" si="29"/>
        <v>1</v>
      </c>
      <c r="AR130" s="143">
        <f t="shared" ca="1" si="30"/>
        <v>0</v>
      </c>
      <c r="AU130" s="281" t="str">
        <f>IF($C130=$AB$15,'NTS ONLY_set_year'!$E$143," ")&amp;$D130</f>
        <v xml:space="preserve"> </v>
      </c>
      <c r="AV130" s="121">
        <f t="shared" ca="1" si="40"/>
        <v>0</v>
      </c>
      <c r="AW130" s="198">
        <f t="shared" ca="1" si="41"/>
        <v>0</v>
      </c>
      <c r="BM130" s="352">
        <f t="shared" si="39"/>
        <v>1</v>
      </c>
      <c r="BN130" s="281">
        <f t="shared" si="39"/>
        <v>1</v>
      </c>
      <c r="BQ130" s="251"/>
      <c r="BR130" s="7"/>
      <c r="BS130" s="7"/>
      <c r="BT130" s="7"/>
      <c r="IU130" s="16"/>
    </row>
    <row r="131" spans="2:255" ht="13.2">
      <c r="B131" s="9">
        <v>112</v>
      </c>
      <c r="C131" s="17"/>
      <c r="D131" s="72"/>
      <c r="E131" s="76"/>
      <c r="F131" s="76"/>
      <c r="G131" s="76" t="str">
        <f ca="1">IF(ISBLANK(D131),IF(AND(ISNUMBER(D130),D130&lt;$AF$5),'NTS ONLY_set_year'!$E$62,"- -"),IF(D131&gt;$AF$5,$AG$5,IF(D131&gt;D130+1,$AG$6,IF(D131&lt;D130,$AG$7,Y131))))</f>
        <v>- -</v>
      </c>
      <c r="H131" s="532"/>
      <c r="I131" s="621"/>
      <c r="J131" s="534"/>
      <c r="K131" s="555"/>
      <c r="L131" s="556"/>
      <c r="M131" s="557" t="str">
        <f t="shared" si="23"/>
        <v/>
      </c>
      <c r="N131" s="558"/>
      <c r="O131" s="559"/>
      <c r="P131" s="560"/>
      <c r="Q131" s="559"/>
      <c r="R131" s="18" t="str">
        <f t="shared" si="31"/>
        <v/>
      </c>
      <c r="S131" s="36"/>
      <c r="T131" s="120" t="str">
        <f ca="1">INDEX('NTS ONLY_set_year'!E:E,MATCH(TEXT($X131,"Ddd"),'NTS ONLY_set_year'!C:C,0))</f>
        <v>Dim</v>
      </c>
      <c r="U131" s="186" t="str">
        <f t="shared" ca="1" si="32"/>
        <v>juin</v>
      </c>
      <c r="X131" s="347">
        <f t="shared" ca="1" si="36"/>
        <v>46173</v>
      </c>
      <c r="Y131" s="452" t="str">
        <f t="shared" ca="1" si="33"/>
        <v>Dim. juin , 2026</v>
      </c>
      <c r="Z131" s="143">
        <f t="shared" ca="1" si="24"/>
        <v>30</v>
      </c>
      <c r="AA131" s="348">
        <f t="shared" ca="1" si="25"/>
        <v>6</v>
      </c>
      <c r="AB131" s="168">
        <f t="shared" ca="1" si="34"/>
        <v>0</v>
      </c>
      <c r="AF131" s="349">
        <f t="shared" ca="1" si="26"/>
        <v>99</v>
      </c>
      <c r="AG131" s="350">
        <f ca="1">MIN(AF131:AF$195)</f>
        <v>99</v>
      </c>
      <c r="AH131" s="121" t="b">
        <f t="shared" si="27"/>
        <v>0</v>
      </c>
      <c r="AJ131" s="191">
        <f t="shared" ca="1" si="28"/>
        <v>0</v>
      </c>
      <c r="AK131" s="168">
        <f>IF(D131&lt;&gt;D130,MAX(L$20:L130),AK130)</f>
        <v>0</v>
      </c>
      <c r="AL131" s="121" t="str">
        <f t="shared" si="37"/>
        <v>- -</v>
      </c>
      <c r="AM131" s="121">
        <f>MIN(K132:K$194)</f>
        <v>0</v>
      </c>
      <c r="AN131" s="352" t="str">
        <f t="shared" si="38"/>
        <v>- -</v>
      </c>
      <c r="AP131" s="352">
        <f t="shared" si="35"/>
        <v>999</v>
      </c>
      <c r="AQ131" s="143">
        <f t="shared" ca="1" si="29"/>
        <v>1</v>
      </c>
      <c r="AR131" s="143">
        <f t="shared" ca="1" si="30"/>
        <v>0</v>
      </c>
      <c r="AU131" s="281" t="str">
        <f>IF($C131=$AB$15,'NTS ONLY_set_year'!$E$143," ")&amp;$D131</f>
        <v xml:space="preserve"> </v>
      </c>
      <c r="AV131" s="121">
        <f t="shared" ca="1" si="40"/>
        <v>0</v>
      </c>
      <c r="AW131" s="198">
        <f t="shared" ca="1" si="41"/>
        <v>0</v>
      </c>
      <c r="BM131" s="352">
        <f t="shared" si="39"/>
        <v>1</v>
      </c>
      <c r="BN131" s="281">
        <f t="shared" si="39"/>
        <v>1</v>
      </c>
      <c r="BQ131" s="251"/>
      <c r="BR131" s="7"/>
      <c r="BS131" s="7"/>
      <c r="BT131" s="7"/>
      <c r="IU131" s="16"/>
    </row>
    <row r="132" spans="2:255" ht="13.2">
      <c r="B132" s="9">
        <v>113</v>
      </c>
      <c r="C132" s="17"/>
      <c r="D132" s="72"/>
      <c r="E132" s="76"/>
      <c r="F132" s="76"/>
      <c r="G132" s="76" t="str">
        <f ca="1">IF(ISBLANK(D132),IF(AND(ISNUMBER(D131),D131&lt;$AF$5),'NTS ONLY_set_year'!$E$62,"- -"),IF(D132&gt;$AF$5,$AG$5,IF(D132&gt;D131+1,$AG$6,IF(D132&lt;D131,$AG$7,Y132))))</f>
        <v>- -</v>
      </c>
      <c r="H132" s="532"/>
      <c r="I132" s="621"/>
      <c r="J132" s="534"/>
      <c r="K132" s="555"/>
      <c r="L132" s="556"/>
      <c r="M132" s="557" t="str">
        <f t="shared" si="23"/>
        <v/>
      </c>
      <c r="N132" s="558"/>
      <c r="O132" s="559"/>
      <c r="P132" s="560"/>
      <c r="Q132" s="559"/>
      <c r="R132" s="18" t="str">
        <f t="shared" si="31"/>
        <v/>
      </c>
      <c r="S132" s="36"/>
      <c r="T132" s="120" t="str">
        <f ca="1">INDEX('NTS ONLY_set_year'!E:E,MATCH(TEXT($X132,"Ddd"),'NTS ONLY_set_year'!C:C,0))</f>
        <v>Dim</v>
      </c>
      <c r="U132" s="186" t="str">
        <f t="shared" ca="1" si="32"/>
        <v>juin</v>
      </c>
      <c r="X132" s="347">
        <f t="shared" ca="1" si="36"/>
        <v>46173</v>
      </c>
      <c r="Y132" s="452" t="str">
        <f t="shared" ca="1" si="33"/>
        <v>Dim. juin , 2026</v>
      </c>
      <c r="Z132" s="143">
        <f t="shared" ca="1" si="24"/>
        <v>30</v>
      </c>
      <c r="AA132" s="348">
        <f t="shared" ca="1" si="25"/>
        <v>6</v>
      </c>
      <c r="AB132" s="168">
        <f t="shared" ca="1" si="34"/>
        <v>0</v>
      </c>
      <c r="AF132" s="349">
        <f t="shared" ca="1" si="26"/>
        <v>99</v>
      </c>
      <c r="AG132" s="350">
        <f ca="1">MIN(AF132:AF$195)</f>
        <v>99</v>
      </c>
      <c r="AH132" s="121" t="b">
        <f t="shared" si="27"/>
        <v>0</v>
      </c>
      <c r="AJ132" s="191">
        <f t="shared" ca="1" si="28"/>
        <v>0</v>
      </c>
      <c r="AK132" s="168">
        <f>IF(D132&lt;&gt;D131,MAX(L$20:L131),AK131)</f>
        <v>0</v>
      </c>
      <c r="AL132" s="121" t="str">
        <f t="shared" si="37"/>
        <v>- -</v>
      </c>
      <c r="AM132" s="121">
        <f>MIN(K133:K$194)</f>
        <v>0</v>
      </c>
      <c r="AN132" s="352" t="str">
        <f t="shared" si="38"/>
        <v>- -</v>
      </c>
      <c r="AP132" s="352">
        <f t="shared" si="35"/>
        <v>999</v>
      </c>
      <c r="AQ132" s="143">
        <f t="shared" ca="1" si="29"/>
        <v>1</v>
      </c>
      <c r="AR132" s="143">
        <f t="shared" ca="1" si="30"/>
        <v>0</v>
      </c>
      <c r="AU132" s="281" t="str">
        <f>IF($C132=$AB$15,'NTS ONLY_set_year'!$E$143," ")&amp;$D132</f>
        <v xml:space="preserve"> </v>
      </c>
      <c r="AV132" s="121">
        <f t="shared" ca="1" si="40"/>
        <v>0</v>
      </c>
      <c r="AW132" s="198">
        <f t="shared" ca="1" si="41"/>
        <v>0</v>
      </c>
      <c r="BM132" s="352">
        <f t="shared" si="39"/>
        <v>1</v>
      </c>
      <c r="BN132" s="281">
        <f t="shared" si="39"/>
        <v>1</v>
      </c>
      <c r="BQ132" s="251"/>
      <c r="BR132" s="7"/>
      <c r="BS132" s="7"/>
      <c r="BT132" s="7"/>
      <c r="IU132" s="16"/>
    </row>
    <row r="133" spans="2:255" ht="13.2">
      <c r="B133" s="9">
        <v>114</v>
      </c>
      <c r="C133" s="17"/>
      <c r="D133" s="72"/>
      <c r="E133" s="76"/>
      <c r="F133" s="76"/>
      <c r="G133" s="76" t="str">
        <f ca="1">IF(ISBLANK(D133),IF(AND(ISNUMBER(D132),D132&lt;$AF$5),'NTS ONLY_set_year'!$E$62,"- -"),IF(D133&gt;$AF$5,$AG$5,IF(D133&gt;D132+1,$AG$6,IF(D133&lt;D132,$AG$7,Y133))))</f>
        <v>- -</v>
      </c>
      <c r="H133" s="532"/>
      <c r="I133" s="621"/>
      <c r="J133" s="534"/>
      <c r="K133" s="555"/>
      <c r="L133" s="556"/>
      <c r="M133" s="557" t="str">
        <f t="shared" si="23"/>
        <v/>
      </c>
      <c r="N133" s="558"/>
      <c r="O133" s="559"/>
      <c r="P133" s="560"/>
      <c r="Q133" s="559"/>
      <c r="R133" s="18" t="str">
        <f t="shared" si="31"/>
        <v/>
      </c>
      <c r="S133" s="36"/>
      <c r="T133" s="120" t="str">
        <f ca="1">INDEX('NTS ONLY_set_year'!E:E,MATCH(TEXT($X133,"Ddd"),'NTS ONLY_set_year'!C:C,0))</f>
        <v>Dim</v>
      </c>
      <c r="U133" s="186" t="str">
        <f t="shared" ca="1" si="32"/>
        <v>juin</v>
      </c>
      <c r="X133" s="347">
        <f t="shared" ca="1" si="36"/>
        <v>46173</v>
      </c>
      <c r="Y133" s="452" t="str">
        <f t="shared" ca="1" si="33"/>
        <v>Dim. juin , 2026</v>
      </c>
      <c r="Z133" s="143">
        <f t="shared" ca="1" si="24"/>
        <v>30</v>
      </c>
      <c r="AA133" s="348">
        <f t="shared" ca="1" si="25"/>
        <v>6</v>
      </c>
      <c r="AB133" s="168">
        <f t="shared" ca="1" si="34"/>
        <v>0</v>
      </c>
      <c r="AF133" s="349">
        <f t="shared" ca="1" si="26"/>
        <v>99</v>
      </c>
      <c r="AG133" s="350">
        <f ca="1">MIN(AF133:AF$195)</f>
        <v>99</v>
      </c>
      <c r="AH133" s="121" t="b">
        <f t="shared" si="27"/>
        <v>0</v>
      </c>
      <c r="AJ133" s="191">
        <f t="shared" ca="1" si="28"/>
        <v>0</v>
      </c>
      <c r="AK133" s="168">
        <f>IF(D133&lt;&gt;D132,MAX(L$20:L132),AK132)</f>
        <v>0</v>
      </c>
      <c r="AL133" s="121" t="str">
        <f t="shared" si="37"/>
        <v>- -</v>
      </c>
      <c r="AM133" s="121">
        <f>MIN(K134:K$194)</f>
        <v>0</v>
      </c>
      <c r="AN133" s="352" t="str">
        <f t="shared" si="38"/>
        <v>- -</v>
      </c>
      <c r="AP133" s="352">
        <f t="shared" si="35"/>
        <v>999</v>
      </c>
      <c r="AQ133" s="143">
        <f t="shared" ca="1" si="29"/>
        <v>1</v>
      </c>
      <c r="AR133" s="143">
        <f t="shared" ca="1" si="30"/>
        <v>0</v>
      </c>
      <c r="AU133" s="281" t="str">
        <f>IF($C133=$AB$15,'NTS ONLY_set_year'!$E$143," ")&amp;$D133</f>
        <v xml:space="preserve"> </v>
      </c>
      <c r="AV133" s="121">
        <f t="shared" ca="1" si="40"/>
        <v>0</v>
      </c>
      <c r="AW133" s="198">
        <f t="shared" ca="1" si="41"/>
        <v>0</v>
      </c>
      <c r="BM133" s="352">
        <f t="shared" si="39"/>
        <v>1</v>
      </c>
      <c r="BN133" s="281">
        <f t="shared" si="39"/>
        <v>1</v>
      </c>
      <c r="BQ133" s="251"/>
      <c r="BR133" s="7"/>
      <c r="BS133" s="7"/>
      <c r="BT133" s="7"/>
      <c r="IU133" s="16"/>
    </row>
    <row r="134" spans="2:255" ht="13.2">
      <c r="B134" s="9">
        <v>115</v>
      </c>
      <c r="C134" s="17"/>
      <c r="D134" s="72"/>
      <c r="E134" s="76"/>
      <c r="F134" s="76"/>
      <c r="G134" s="76" t="str">
        <f ca="1">IF(ISBLANK(D134),IF(AND(ISNUMBER(D133),D133&lt;$AF$5),'NTS ONLY_set_year'!$E$62,"- -"),IF(D134&gt;$AF$5,$AG$5,IF(D134&gt;D133+1,$AG$6,IF(D134&lt;D133,$AG$7,Y134))))</f>
        <v>- -</v>
      </c>
      <c r="H134" s="532"/>
      <c r="I134" s="621"/>
      <c r="J134" s="534"/>
      <c r="K134" s="555"/>
      <c r="L134" s="556"/>
      <c r="M134" s="557" t="str">
        <f t="shared" si="23"/>
        <v/>
      </c>
      <c r="N134" s="558"/>
      <c r="O134" s="559"/>
      <c r="P134" s="560"/>
      <c r="Q134" s="559"/>
      <c r="R134" s="18" t="str">
        <f t="shared" si="31"/>
        <v/>
      </c>
      <c r="S134" s="36"/>
      <c r="T134" s="120" t="str">
        <f ca="1">INDEX('NTS ONLY_set_year'!E:E,MATCH(TEXT($X134,"Ddd"),'NTS ONLY_set_year'!C:C,0))</f>
        <v>Dim</v>
      </c>
      <c r="U134" s="186" t="str">
        <f t="shared" ca="1" si="32"/>
        <v>juin</v>
      </c>
      <c r="X134" s="347">
        <f t="shared" ca="1" si="36"/>
        <v>46173</v>
      </c>
      <c r="Y134" s="452" t="str">
        <f t="shared" ca="1" si="33"/>
        <v>Dim. juin , 2026</v>
      </c>
      <c r="Z134" s="143">
        <f t="shared" ca="1" si="24"/>
        <v>30</v>
      </c>
      <c r="AA134" s="348">
        <f t="shared" ca="1" si="25"/>
        <v>6</v>
      </c>
      <c r="AB134" s="168">
        <f t="shared" ca="1" si="34"/>
        <v>0</v>
      </c>
      <c r="AF134" s="349">
        <f t="shared" ca="1" si="26"/>
        <v>99</v>
      </c>
      <c r="AG134" s="350">
        <f ca="1">MIN(AF134:AF$195)</f>
        <v>99</v>
      </c>
      <c r="AH134" s="121" t="b">
        <f t="shared" si="27"/>
        <v>0</v>
      </c>
      <c r="AJ134" s="191">
        <f t="shared" ca="1" si="28"/>
        <v>0</v>
      </c>
      <c r="AK134" s="168">
        <f>IF(D134&lt;&gt;D133,MAX(L$20:L133),AK133)</f>
        <v>0</v>
      </c>
      <c r="AL134" s="121" t="str">
        <f t="shared" si="37"/>
        <v>- -</v>
      </c>
      <c r="AM134" s="121">
        <f>MIN(K135:K$194)</f>
        <v>0</v>
      </c>
      <c r="AN134" s="352" t="str">
        <f t="shared" si="38"/>
        <v>- -</v>
      </c>
      <c r="AP134" s="352">
        <f t="shared" si="35"/>
        <v>999</v>
      </c>
      <c r="AQ134" s="143">
        <f t="shared" ca="1" si="29"/>
        <v>1</v>
      </c>
      <c r="AR134" s="143">
        <f t="shared" ca="1" si="30"/>
        <v>0</v>
      </c>
      <c r="AU134" s="281" t="str">
        <f>IF($C134=$AB$15,'NTS ONLY_set_year'!$E$143," ")&amp;$D134</f>
        <v xml:space="preserve"> </v>
      </c>
      <c r="AV134" s="121">
        <f t="shared" ca="1" si="40"/>
        <v>0</v>
      </c>
      <c r="AW134" s="198">
        <f t="shared" ca="1" si="41"/>
        <v>0</v>
      </c>
      <c r="BM134" s="352">
        <f t="shared" si="39"/>
        <v>1</v>
      </c>
      <c r="BN134" s="281">
        <f t="shared" si="39"/>
        <v>1</v>
      </c>
      <c r="BQ134" s="251"/>
      <c r="BR134" s="7"/>
      <c r="BS134" s="7"/>
      <c r="BT134" s="7"/>
      <c r="IU134" s="16"/>
    </row>
    <row r="135" spans="2:255" ht="13.2">
      <c r="B135" s="9">
        <v>116</v>
      </c>
      <c r="C135" s="17"/>
      <c r="D135" s="72"/>
      <c r="E135" s="76"/>
      <c r="F135" s="76"/>
      <c r="G135" s="76" t="str">
        <f ca="1">IF(ISBLANK(D135),IF(AND(ISNUMBER(D134),D134&lt;$AF$5),'NTS ONLY_set_year'!$E$62,"- -"),IF(D135&gt;$AF$5,$AG$5,IF(D135&gt;D134+1,$AG$6,IF(D135&lt;D134,$AG$7,Y135))))</f>
        <v>- -</v>
      </c>
      <c r="H135" s="532"/>
      <c r="I135" s="621"/>
      <c r="J135" s="534"/>
      <c r="K135" s="555"/>
      <c r="L135" s="556"/>
      <c r="M135" s="557" t="str">
        <f t="shared" si="23"/>
        <v/>
      </c>
      <c r="N135" s="558"/>
      <c r="O135" s="559"/>
      <c r="P135" s="560"/>
      <c r="Q135" s="559"/>
      <c r="R135" s="18" t="str">
        <f t="shared" si="31"/>
        <v/>
      </c>
      <c r="S135" s="36"/>
      <c r="T135" s="120" t="str">
        <f ca="1">INDEX('NTS ONLY_set_year'!E:E,MATCH(TEXT($X135,"Ddd"),'NTS ONLY_set_year'!C:C,0))</f>
        <v>Dim</v>
      </c>
      <c r="U135" s="186" t="str">
        <f t="shared" ca="1" si="32"/>
        <v>juin</v>
      </c>
      <c r="X135" s="347">
        <f t="shared" ca="1" si="36"/>
        <v>46173</v>
      </c>
      <c r="Y135" s="452" t="str">
        <f t="shared" ca="1" si="33"/>
        <v>Dim. juin , 2026</v>
      </c>
      <c r="Z135" s="143">
        <f t="shared" ca="1" si="24"/>
        <v>30</v>
      </c>
      <c r="AA135" s="348">
        <f t="shared" ca="1" si="25"/>
        <v>6</v>
      </c>
      <c r="AB135" s="168">
        <f t="shared" ca="1" si="34"/>
        <v>0</v>
      </c>
      <c r="AF135" s="349">
        <f t="shared" ca="1" si="26"/>
        <v>99</v>
      </c>
      <c r="AG135" s="350">
        <f ca="1">MIN(AF135:AF$195)</f>
        <v>99</v>
      </c>
      <c r="AH135" s="121" t="b">
        <f t="shared" si="27"/>
        <v>0</v>
      </c>
      <c r="AJ135" s="191">
        <f t="shared" ca="1" si="28"/>
        <v>0</v>
      </c>
      <c r="AK135" s="168">
        <f>IF(D135&lt;&gt;D134,MAX(L$20:L134),AK134)</f>
        <v>0</v>
      </c>
      <c r="AL135" s="121" t="str">
        <f t="shared" si="37"/>
        <v>- -</v>
      </c>
      <c r="AM135" s="121">
        <f>MIN(K136:K$194)</f>
        <v>0</v>
      </c>
      <c r="AN135" s="352" t="str">
        <f t="shared" si="38"/>
        <v>- -</v>
      </c>
      <c r="AP135" s="352">
        <f t="shared" si="35"/>
        <v>999</v>
      </c>
      <c r="AQ135" s="143">
        <f t="shared" ca="1" si="29"/>
        <v>1</v>
      </c>
      <c r="AR135" s="143">
        <f t="shared" ca="1" si="30"/>
        <v>0</v>
      </c>
      <c r="AU135" s="281" t="str">
        <f>IF($C135=$AB$15,'NTS ONLY_set_year'!$E$143," ")&amp;$D135</f>
        <v xml:space="preserve"> </v>
      </c>
      <c r="AV135" s="121">
        <f t="shared" ca="1" si="40"/>
        <v>0</v>
      </c>
      <c r="AW135" s="198">
        <f t="shared" ca="1" si="41"/>
        <v>0</v>
      </c>
      <c r="BM135" s="352">
        <f t="shared" si="39"/>
        <v>1</v>
      </c>
      <c r="BN135" s="281">
        <f t="shared" si="39"/>
        <v>1</v>
      </c>
      <c r="BQ135" s="251"/>
      <c r="BR135" s="7"/>
      <c r="BS135" s="7"/>
      <c r="BT135" s="7"/>
      <c r="IU135" s="16"/>
    </row>
    <row r="136" spans="2:255" ht="13.2">
      <c r="B136" s="9">
        <v>117</v>
      </c>
      <c r="C136" s="17"/>
      <c r="D136" s="72"/>
      <c r="E136" s="76"/>
      <c r="F136" s="76"/>
      <c r="G136" s="76" t="str">
        <f ca="1">IF(ISBLANK(D136),IF(AND(ISNUMBER(D135),D135&lt;$AF$5),'NTS ONLY_set_year'!$E$62,"- -"),IF(D136&gt;$AF$5,$AG$5,IF(D136&gt;D135+1,$AG$6,IF(D136&lt;D135,$AG$7,Y136))))</f>
        <v>- -</v>
      </c>
      <c r="H136" s="532"/>
      <c r="I136" s="621"/>
      <c r="J136" s="534"/>
      <c r="K136" s="555"/>
      <c r="L136" s="556"/>
      <c r="M136" s="557" t="str">
        <f t="shared" si="23"/>
        <v/>
      </c>
      <c r="N136" s="558"/>
      <c r="O136" s="559"/>
      <c r="P136" s="560"/>
      <c r="Q136" s="559"/>
      <c r="R136" s="18" t="str">
        <f t="shared" si="31"/>
        <v/>
      </c>
      <c r="S136" s="36"/>
      <c r="T136" s="120" t="str">
        <f ca="1">INDEX('NTS ONLY_set_year'!E:E,MATCH(TEXT($X136,"Ddd"),'NTS ONLY_set_year'!C:C,0))</f>
        <v>Dim</v>
      </c>
      <c r="U136" s="186" t="str">
        <f t="shared" ca="1" si="32"/>
        <v>juin</v>
      </c>
      <c r="X136" s="347">
        <f t="shared" ca="1" si="36"/>
        <v>46173</v>
      </c>
      <c r="Y136" s="452" t="str">
        <f t="shared" ca="1" si="33"/>
        <v>Dim. juin , 2026</v>
      </c>
      <c r="Z136" s="143">
        <f t="shared" ca="1" si="24"/>
        <v>30</v>
      </c>
      <c r="AA136" s="348">
        <f t="shared" ca="1" si="25"/>
        <v>6</v>
      </c>
      <c r="AB136" s="168">
        <f t="shared" ca="1" si="34"/>
        <v>0</v>
      </c>
      <c r="AF136" s="349">
        <f t="shared" ca="1" si="26"/>
        <v>99</v>
      </c>
      <c r="AG136" s="350">
        <f ca="1">MIN(AF136:AF$195)</f>
        <v>99</v>
      </c>
      <c r="AH136" s="121" t="b">
        <f t="shared" si="27"/>
        <v>0</v>
      </c>
      <c r="AJ136" s="191">
        <f t="shared" ca="1" si="28"/>
        <v>0</v>
      </c>
      <c r="AK136" s="168">
        <f>IF(D136&lt;&gt;D135,MAX(L$20:L135),AK135)</f>
        <v>0</v>
      </c>
      <c r="AL136" s="121" t="str">
        <f t="shared" si="37"/>
        <v>- -</v>
      </c>
      <c r="AM136" s="121">
        <f>MIN(K137:K$194)</f>
        <v>0</v>
      </c>
      <c r="AN136" s="352" t="str">
        <f t="shared" si="38"/>
        <v>- -</v>
      </c>
      <c r="AP136" s="352">
        <f t="shared" si="35"/>
        <v>999</v>
      </c>
      <c r="AQ136" s="143">
        <f t="shared" ca="1" si="29"/>
        <v>1</v>
      </c>
      <c r="AR136" s="143">
        <f t="shared" ca="1" si="30"/>
        <v>0</v>
      </c>
      <c r="AU136" s="281" t="str">
        <f>IF($C136=$AB$15,'NTS ONLY_set_year'!$E$143," ")&amp;$D136</f>
        <v xml:space="preserve"> </v>
      </c>
      <c r="AV136" s="121">
        <f t="shared" ca="1" si="40"/>
        <v>0</v>
      </c>
      <c r="AW136" s="198">
        <f t="shared" ca="1" si="41"/>
        <v>0</v>
      </c>
      <c r="BM136" s="352">
        <f t="shared" si="39"/>
        <v>1</v>
      </c>
      <c r="BN136" s="281">
        <f t="shared" si="39"/>
        <v>1</v>
      </c>
      <c r="BQ136" s="251"/>
      <c r="BR136" s="7"/>
      <c r="BS136" s="7"/>
      <c r="BT136" s="7"/>
      <c r="IU136" s="16"/>
    </row>
    <row r="137" spans="2:255" ht="13.2">
      <c r="B137" s="9">
        <v>118</v>
      </c>
      <c r="C137" s="17"/>
      <c r="D137" s="72"/>
      <c r="E137" s="76"/>
      <c r="F137" s="76"/>
      <c r="G137" s="76" t="str">
        <f ca="1">IF(ISBLANK(D137),IF(AND(ISNUMBER(D136),D136&lt;$AF$5),'NTS ONLY_set_year'!$E$62,"- -"),IF(D137&gt;$AF$5,$AG$5,IF(D137&gt;D136+1,$AG$6,IF(D137&lt;D136,$AG$7,Y137))))</f>
        <v>- -</v>
      </c>
      <c r="H137" s="532"/>
      <c r="I137" s="621"/>
      <c r="J137" s="534"/>
      <c r="K137" s="555"/>
      <c r="L137" s="556"/>
      <c r="M137" s="557" t="str">
        <f t="shared" si="23"/>
        <v/>
      </c>
      <c r="N137" s="558"/>
      <c r="O137" s="559"/>
      <c r="P137" s="560"/>
      <c r="Q137" s="559"/>
      <c r="R137" s="18" t="str">
        <f t="shared" si="31"/>
        <v/>
      </c>
      <c r="S137" s="36"/>
      <c r="T137" s="120" t="str">
        <f ca="1">INDEX('NTS ONLY_set_year'!E:E,MATCH(TEXT($X137,"Ddd"),'NTS ONLY_set_year'!C:C,0))</f>
        <v>Dim</v>
      </c>
      <c r="U137" s="186" t="str">
        <f t="shared" ca="1" si="32"/>
        <v>juin</v>
      </c>
      <c r="X137" s="347">
        <f t="shared" ca="1" si="36"/>
        <v>46173</v>
      </c>
      <c r="Y137" s="452" t="str">
        <f t="shared" ca="1" si="33"/>
        <v>Dim. juin , 2026</v>
      </c>
      <c r="Z137" s="143">
        <f t="shared" ca="1" si="24"/>
        <v>30</v>
      </c>
      <c r="AA137" s="348">
        <f t="shared" ca="1" si="25"/>
        <v>6</v>
      </c>
      <c r="AB137" s="168">
        <f t="shared" ca="1" si="34"/>
        <v>0</v>
      </c>
      <c r="AF137" s="349">
        <f t="shared" ca="1" si="26"/>
        <v>99</v>
      </c>
      <c r="AG137" s="350">
        <f ca="1">MIN(AF137:AF$195)</f>
        <v>99</v>
      </c>
      <c r="AH137" s="121" t="b">
        <f t="shared" si="27"/>
        <v>0</v>
      </c>
      <c r="AJ137" s="191">
        <f t="shared" ca="1" si="28"/>
        <v>0</v>
      </c>
      <c r="AK137" s="168">
        <f>IF(D137&lt;&gt;D136,MAX(L$20:L136),AK136)</f>
        <v>0</v>
      </c>
      <c r="AL137" s="121" t="str">
        <f t="shared" si="37"/>
        <v>- -</v>
      </c>
      <c r="AM137" s="121">
        <f>MIN(K138:K$194)</f>
        <v>0</v>
      </c>
      <c r="AN137" s="352" t="str">
        <f t="shared" si="38"/>
        <v>- -</v>
      </c>
      <c r="AP137" s="352">
        <f t="shared" si="35"/>
        <v>999</v>
      </c>
      <c r="AQ137" s="143">
        <f t="shared" ca="1" si="29"/>
        <v>1</v>
      </c>
      <c r="AR137" s="143">
        <f t="shared" ca="1" si="30"/>
        <v>0</v>
      </c>
      <c r="AU137" s="281" t="str">
        <f>IF($C137=$AB$15,'NTS ONLY_set_year'!$E$143," ")&amp;$D137</f>
        <v xml:space="preserve"> </v>
      </c>
      <c r="AV137" s="121">
        <f t="shared" ca="1" si="40"/>
        <v>0</v>
      </c>
      <c r="AW137" s="198">
        <f t="shared" ca="1" si="41"/>
        <v>0</v>
      </c>
      <c r="BM137" s="352">
        <f t="shared" si="39"/>
        <v>1</v>
      </c>
      <c r="BN137" s="281">
        <f t="shared" si="39"/>
        <v>1</v>
      </c>
      <c r="BQ137" s="251"/>
      <c r="BR137" s="7"/>
      <c r="BS137" s="7"/>
      <c r="BT137" s="7"/>
      <c r="IU137" s="16"/>
    </row>
    <row r="138" spans="2:255" ht="13.2">
      <c r="B138" s="9">
        <v>119</v>
      </c>
      <c r="C138" s="17"/>
      <c r="D138" s="72"/>
      <c r="E138" s="76"/>
      <c r="F138" s="76"/>
      <c r="G138" s="76" t="str">
        <f ca="1">IF(ISBLANK(D138),IF(AND(ISNUMBER(D137),D137&lt;$AF$5),'NTS ONLY_set_year'!$E$62,"- -"),IF(D138&gt;$AF$5,$AG$5,IF(D138&gt;D137+1,$AG$6,IF(D138&lt;D137,$AG$7,Y138))))</f>
        <v>- -</v>
      </c>
      <c r="H138" s="532"/>
      <c r="I138" s="621"/>
      <c r="J138" s="534"/>
      <c r="K138" s="555"/>
      <c r="L138" s="556"/>
      <c r="M138" s="557" t="str">
        <f t="shared" si="23"/>
        <v/>
      </c>
      <c r="N138" s="558"/>
      <c r="O138" s="559"/>
      <c r="P138" s="560"/>
      <c r="Q138" s="559"/>
      <c r="R138" s="18" t="str">
        <f t="shared" si="31"/>
        <v/>
      </c>
      <c r="S138" s="36"/>
      <c r="T138" s="120" t="str">
        <f ca="1">INDEX('NTS ONLY_set_year'!E:E,MATCH(TEXT($X138,"Ddd"),'NTS ONLY_set_year'!C:C,0))</f>
        <v>Dim</v>
      </c>
      <c r="U138" s="186" t="str">
        <f t="shared" ca="1" si="32"/>
        <v>juin</v>
      </c>
      <c r="X138" s="347">
        <f t="shared" ca="1" si="36"/>
        <v>46173</v>
      </c>
      <c r="Y138" s="452" t="str">
        <f t="shared" ca="1" si="33"/>
        <v>Dim. juin , 2026</v>
      </c>
      <c r="Z138" s="143">
        <f t="shared" ca="1" si="24"/>
        <v>30</v>
      </c>
      <c r="AA138" s="348">
        <f t="shared" ca="1" si="25"/>
        <v>6</v>
      </c>
      <c r="AB138" s="168">
        <f t="shared" ca="1" si="34"/>
        <v>0</v>
      </c>
      <c r="AF138" s="349">
        <f t="shared" ca="1" si="26"/>
        <v>99</v>
      </c>
      <c r="AG138" s="350">
        <f ca="1">MIN(AF138:AF$195)</f>
        <v>99</v>
      </c>
      <c r="AH138" s="121" t="b">
        <f t="shared" si="27"/>
        <v>0</v>
      </c>
      <c r="AJ138" s="191">
        <f t="shared" ca="1" si="28"/>
        <v>0</v>
      </c>
      <c r="AK138" s="168">
        <f>IF(D138&lt;&gt;D137,MAX(L$20:L137),AK137)</f>
        <v>0</v>
      </c>
      <c r="AL138" s="121" t="str">
        <f t="shared" si="37"/>
        <v>- -</v>
      </c>
      <c r="AM138" s="121">
        <f>MIN(K139:K$194)</f>
        <v>0</v>
      </c>
      <c r="AN138" s="352" t="str">
        <f t="shared" si="38"/>
        <v>- -</v>
      </c>
      <c r="AP138" s="352">
        <f t="shared" si="35"/>
        <v>999</v>
      </c>
      <c r="AQ138" s="143">
        <f t="shared" ca="1" si="29"/>
        <v>1</v>
      </c>
      <c r="AR138" s="143">
        <f t="shared" ca="1" si="30"/>
        <v>0</v>
      </c>
      <c r="AU138" s="281" t="str">
        <f>IF($C138=$AB$15,'NTS ONLY_set_year'!$E$143," ")&amp;$D138</f>
        <v xml:space="preserve"> </v>
      </c>
      <c r="AV138" s="121">
        <f t="shared" ca="1" si="40"/>
        <v>0</v>
      </c>
      <c r="AW138" s="198">
        <f t="shared" ca="1" si="41"/>
        <v>0</v>
      </c>
      <c r="BM138" s="352">
        <f t="shared" si="39"/>
        <v>1</v>
      </c>
      <c r="BN138" s="281">
        <f t="shared" si="39"/>
        <v>1</v>
      </c>
      <c r="BQ138" s="251"/>
      <c r="BR138" s="7"/>
      <c r="BS138" s="7"/>
      <c r="BT138" s="7"/>
      <c r="IU138" s="16"/>
    </row>
    <row r="139" spans="2:255" ht="13.2">
      <c r="B139" s="9">
        <v>120</v>
      </c>
      <c r="C139" s="17"/>
      <c r="D139" s="72"/>
      <c r="E139" s="76"/>
      <c r="F139" s="76"/>
      <c r="G139" s="76" t="str">
        <f ca="1">IF(ISBLANK(D139),IF(AND(ISNUMBER(D138),D138&lt;$AF$5),'NTS ONLY_set_year'!$E$62,"- -"),IF(D139&gt;$AF$5,$AG$5,IF(D139&gt;D138+1,$AG$6,IF(D139&lt;D138,$AG$7,Y139))))</f>
        <v>- -</v>
      </c>
      <c r="H139" s="532"/>
      <c r="I139" s="621"/>
      <c r="J139" s="534"/>
      <c r="K139" s="555"/>
      <c r="L139" s="556"/>
      <c r="M139" s="557" t="str">
        <f t="shared" si="23"/>
        <v/>
      </c>
      <c r="N139" s="558"/>
      <c r="O139" s="559"/>
      <c r="P139" s="560"/>
      <c r="Q139" s="559"/>
      <c r="R139" s="18" t="str">
        <f t="shared" si="31"/>
        <v/>
      </c>
      <c r="S139" s="36"/>
      <c r="T139" s="120" t="str">
        <f ca="1">INDEX('NTS ONLY_set_year'!E:E,MATCH(TEXT($X139,"Ddd"),'NTS ONLY_set_year'!C:C,0))</f>
        <v>Dim</v>
      </c>
      <c r="U139" s="186" t="str">
        <f t="shared" ca="1" si="32"/>
        <v>juin</v>
      </c>
      <c r="X139" s="347">
        <f t="shared" ca="1" si="36"/>
        <v>46173</v>
      </c>
      <c r="Y139" s="452" t="str">
        <f t="shared" ca="1" si="33"/>
        <v>Dim. juin , 2026</v>
      </c>
      <c r="Z139" s="143">
        <f t="shared" ca="1" si="24"/>
        <v>30</v>
      </c>
      <c r="AA139" s="348">
        <f t="shared" ca="1" si="25"/>
        <v>6</v>
      </c>
      <c r="AB139" s="168">
        <f t="shared" ca="1" si="34"/>
        <v>0</v>
      </c>
      <c r="AF139" s="349">
        <f t="shared" ca="1" si="26"/>
        <v>99</v>
      </c>
      <c r="AG139" s="350">
        <f ca="1">MIN(AF139:AF$195)</f>
        <v>99</v>
      </c>
      <c r="AH139" s="121" t="b">
        <f t="shared" si="27"/>
        <v>0</v>
      </c>
      <c r="AJ139" s="191">
        <f t="shared" ca="1" si="28"/>
        <v>0</v>
      </c>
      <c r="AK139" s="168">
        <f>IF(D139&lt;&gt;D138,MAX(L$20:L138),AK138)</f>
        <v>0</v>
      </c>
      <c r="AL139" s="121" t="str">
        <f t="shared" si="37"/>
        <v>- -</v>
      </c>
      <c r="AM139" s="121">
        <f>MIN(K140:K$194)</f>
        <v>0</v>
      </c>
      <c r="AN139" s="352" t="str">
        <f t="shared" si="38"/>
        <v>- -</v>
      </c>
      <c r="AP139" s="352">
        <f t="shared" si="35"/>
        <v>999</v>
      </c>
      <c r="AQ139" s="143">
        <f t="shared" ca="1" si="29"/>
        <v>1</v>
      </c>
      <c r="AR139" s="143">
        <f t="shared" ca="1" si="30"/>
        <v>0</v>
      </c>
      <c r="AU139" s="281" t="str">
        <f>IF($C139=$AB$15,'NTS ONLY_set_year'!$E$143," ")&amp;$D139</f>
        <v xml:space="preserve"> </v>
      </c>
      <c r="AV139" s="121">
        <f t="shared" ca="1" si="40"/>
        <v>0</v>
      </c>
      <c r="AW139" s="198">
        <f t="shared" ca="1" si="41"/>
        <v>0</v>
      </c>
      <c r="BM139" s="352">
        <f t="shared" si="39"/>
        <v>1</v>
      </c>
      <c r="BN139" s="281">
        <f t="shared" si="39"/>
        <v>1</v>
      </c>
      <c r="BQ139" s="251"/>
      <c r="BR139" s="7"/>
      <c r="BS139" s="7"/>
      <c r="BT139" s="7"/>
      <c r="IU139" s="16"/>
    </row>
    <row r="140" spans="2:255" ht="13.2">
      <c r="B140" s="9">
        <v>121</v>
      </c>
      <c r="C140" s="17"/>
      <c r="D140" s="72"/>
      <c r="E140" s="76"/>
      <c r="F140" s="76"/>
      <c r="G140" s="76" t="str">
        <f ca="1">IF(ISBLANK(D140),IF(AND(ISNUMBER(D139),D139&lt;$AF$5),'NTS ONLY_set_year'!$E$62,"- -"),IF(D140&gt;$AF$5,$AG$5,IF(D140&gt;D139+1,$AG$6,IF(D140&lt;D139,$AG$7,Y140))))</f>
        <v>- -</v>
      </c>
      <c r="H140" s="532"/>
      <c r="I140" s="621"/>
      <c r="J140" s="534"/>
      <c r="K140" s="555"/>
      <c r="L140" s="556"/>
      <c r="M140" s="557" t="str">
        <f t="shared" si="23"/>
        <v/>
      </c>
      <c r="N140" s="558"/>
      <c r="O140" s="559"/>
      <c r="P140" s="560"/>
      <c r="Q140" s="559"/>
      <c r="R140" s="18" t="str">
        <f t="shared" si="31"/>
        <v/>
      </c>
      <c r="S140" s="36"/>
      <c r="T140" s="120" t="str">
        <f ca="1">INDEX('NTS ONLY_set_year'!E:E,MATCH(TEXT($X140,"Ddd"),'NTS ONLY_set_year'!C:C,0))</f>
        <v>Dim</v>
      </c>
      <c r="U140" s="186" t="str">
        <f t="shared" ca="1" si="32"/>
        <v>juin</v>
      </c>
      <c r="X140" s="347">
        <f t="shared" ca="1" si="36"/>
        <v>46173</v>
      </c>
      <c r="Y140" s="452" t="str">
        <f t="shared" ca="1" si="33"/>
        <v>Dim. juin , 2026</v>
      </c>
      <c r="Z140" s="143">
        <f t="shared" ca="1" si="24"/>
        <v>30</v>
      </c>
      <c r="AA140" s="348">
        <f t="shared" ca="1" si="25"/>
        <v>6</v>
      </c>
      <c r="AB140" s="168">
        <f t="shared" ca="1" si="34"/>
        <v>0</v>
      </c>
      <c r="AF140" s="349">
        <f t="shared" ca="1" si="26"/>
        <v>99</v>
      </c>
      <c r="AG140" s="350">
        <f ca="1">MIN(AF140:AF$195)</f>
        <v>99</v>
      </c>
      <c r="AH140" s="121" t="b">
        <f t="shared" si="27"/>
        <v>0</v>
      </c>
      <c r="AJ140" s="191">
        <f t="shared" ca="1" si="28"/>
        <v>0</v>
      </c>
      <c r="AK140" s="168">
        <f>IF(D140&lt;&gt;D139,MAX(L$20:L139),AK139)</f>
        <v>0</v>
      </c>
      <c r="AL140" s="121" t="str">
        <f t="shared" si="37"/>
        <v>- -</v>
      </c>
      <c r="AM140" s="121">
        <f>MIN(K141:K$194)</f>
        <v>0</v>
      </c>
      <c r="AN140" s="352" t="str">
        <f t="shared" si="38"/>
        <v>- -</v>
      </c>
      <c r="AP140" s="352">
        <f t="shared" si="35"/>
        <v>999</v>
      </c>
      <c r="AQ140" s="143">
        <f t="shared" ca="1" si="29"/>
        <v>1</v>
      </c>
      <c r="AR140" s="143">
        <f t="shared" ca="1" si="30"/>
        <v>0</v>
      </c>
      <c r="AU140" s="281" t="str">
        <f>IF($C140=$AB$15,'NTS ONLY_set_year'!$E$143," ")&amp;$D140</f>
        <v xml:space="preserve"> </v>
      </c>
      <c r="AV140" s="121">
        <f t="shared" ca="1" si="40"/>
        <v>0</v>
      </c>
      <c r="AW140" s="198">
        <f t="shared" ca="1" si="41"/>
        <v>0</v>
      </c>
      <c r="BM140" s="352">
        <f t="shared" si="39"/>
        <v>1</v>
      </c>
      <c r="BN140" s="281">
        <f t="shared" si="39"/>
        <v>1</v>
      </c>
      <c r="BQ140" s="251"/>
      <c r="BR140" s="7"/>
      <c r="BS140" s="7"/>
      <c r="BT140" s="7"/>
      <c r="IU140" s="16"/>
    </row>
    <row r="141" spans="2:255" ht="13.2">
      <c r="B141" s="9">
        <v>122</v>
      </c>
      <c r="C141" s="17"/>
      <c r="D141" s="72"/>
      <c r="E141" s="76"/>
      <c r="F141" s="76"/>
      <c r="G141" s="76" t="str">
        <f ca="1">IF(ISBLANK(D141),IF(AND(ISNUMBER(D140),D140&lt;$AF$5),'NTS ONLY_set_year'!$E$62,"- -"),IF(D141&gt;$AF$5,$AG$5,IF(D141&gt;D140+1,$AG$6,IF(D141&lt;D140,$AG$7,Y141))))</f>
        <v>- -</v>
      </c>
      <c r="H141" s="532"/>
      <c r="I141" s="621"/>
      <c r="J141" s="534"/>
      <c r="K141" s="555"/>
      <c r="L141" s="556"/>
      <c r="M141" s="557" t="str">
        <f t="shared" si="23"/>
        <v/>
      </c>
      <c r="N141" s="558"/>
      <c r="O141" s="559"/>
      <c r="P141" s="560"/>
      <c r="Q141" s="559"/>
      <c r="R141" s="18" t="str">
        <f t="shared" si="31"/>
        <v/>
      </c>
      <c r="S141" s="36"/>
      <c r="T141" s="120" t="str">
        <f ca="1">INDEX('NTS ONLY_set_year'!E:E,MATCH(TEXT($X141,"Ddd"),'NTS ONLY_set_year'!C:C,0))</f>
        <v>Dim</v>
      </c>
      <c r="U141" s="186" t="str">
        <f t="shared" ca="1" si="32"/>
        <v>juin</v>
      </c>
      <c r="X141" s="347">
        <f t="shared" ca="1" si="36"/>
        <v>46173</v>
      </c>
      <c r="Y141" s="452" t="str">
        <f t="shared" ca="1" si="33"/>
        <v>Dim. juin , 2026</v>
      </c>
      <c r="Z141" s="143">
        <f t="shared" ca="1" si="24"/>
        <v>30</v>
      </c>
      <c r="AA141" s="348">
        <f t="shared" ca="1" si="25"/>
        <v>6</v>
      </c>
      <c r="AB141" s="168">
        <f t="shared" ca="1" si="34"/>
        <v>0</v>
      </c>
      <c r="AF141" s="349">
        <f t="shared" ca="1" si="26"/>
        <v>99</v>
      </c>
      <c r="AG141" s="350">
        <f ca="1">MIN(AF141:AF$195)</f>
        <v>99</v>
      </c>
      <c r="AH141" s="121" t="b">
        <f t="shared" si="27"/>
        <v>0</v>
      </c>
      <c r="AJ141" s="191">
        <f t="shared" ca="1" si="28"/>
        <v>0</v>
      </c>
      <c r="AK141" s="168">
        <f>IF(D141&lt;&gt;D140,MAX(L$20:L140),AK140)</f>
        <v>0</v>
      </c>
      <c r="AL141" s="121" t="str">
        <f t="shared" si="37"/>
        <v>- -</v>
      </c>
      <c r="AM141" s="121">
        <f>MIN(K142:K$194)</f>
        <v>0</v>
      </c>
      <c r="AN141" s="352" t="str">
        <f t="shared" si="38"/>
        <v>- -</v>
      </c>
      <c r="AP141" s="352">
        <f t="shared" si="35"/>
        <v>999</v>
      </c>
      <c r="AQ141" s="143">
        <f t="shared" ca="1" si="29"/>
        <v>1</v>
      </c>
      <c r="AR141" s="143">
        <f t="shared" ca="1" si="30"/>
        <v>0</v>
      </c>
      <c r="AU141" s="281" t="str">
        <f>IF($C141=$AB$15,'NTS ONLY_set_year'!$E$143," ")&amp;$D141</f>
        <v xml:space="preserve"> </v>
      </c>
      <c r="AV141" s="121">
        <f t="shared" ca="1" si="40"/>
        <v>0</v>
      </c>
      <c r="AW141" s="198">
        <f t="shared" ca="1" si="41"/>
        <v>0</v>
      </c>
      <c r="BM141" s="352">
        <f t="shared" si="39"/>
        <v>1</v>
      </c>
      <c r="BN141" s="281">
        <f t="shared" si="39"/>
        <v>1</v>
      </c>
      <c r="BQ141" s="251"/>
      <c r="BR141" s="7"/>
      <c r="BS141" s="7"/>
      <c r="BT141" s="7"/>
      <c r="IU141" s="16"/>
    </row>
    <row r="142" spans="2:255" ht="13.2">
      <c r="B142" s="9">
        <v>123</v>
      </c>
      <c r="C142" s="17"/>
      <c r="D142" s="72"/>
      <c r="E142" s="76"/>
      <c r="F142" s="76"/>
      <c r="G142" s="76" t="str">
        <f ca="1">IF(ISBLANK(D142),IF(AND(ISNUMBER(D141),D141&lt;$AF$5),'NTS ONLY_set_year'!$E$62,"- -"),IF(D142&gt;$AF$5,$AG$5,IF(D142&gt;D141+1,$AG$6,IF(D142&lt;D141,$AG$7,Y142))))</f>
        <v>- -</v>
      </c>
      <c r="H142" s="532"/>
      <c r="I142" s="621"/>
      <c r="J142" s="534"/>
      <c r="K142" s="555"/>
      <c r="L142" s="556"/>
      <c r="M142" s="557" t="str">
        <f t="shared" si="23"/>
        <v/>
      </c>
      <c r="N142" s="558"/>
      <c r="O142" s="559"/>
      <c r="P142" s="560"/>
      <c r="Q142" s="559"/>
      <c r="R142" s="18" t="str">
        <f t="shared" si="31"/>
        <v/>
      </c>
      <c r="S142" s="36"/>
      <c r="T142" s="120" t="str">
        <f ca="1">INDEX('NTS ONLY_set_year'!E:E,MATCH(TEXT($X142,"Ddd"),'NTS ONLY_set_year'!C:C,0))</f>
        <v>Dim</v>
      </c>
      <c r="U142" s="186" t="str">
        <f t="shared" ca="1" si="32"/>
        <v>juin</v>
      </c>
      <c r="X142" s="347">
        <f t="shared" ca="1" si="36"/>
        <v>46173</v>
      </c>
      <c r="Y142" s="452" t="str">
        <f t="shared" ca="1" si="33"/>
        <v>Dim. juin , 2026</v>
      </c>
      <c r="Z142" s="143">
        <f t="shared" ca="1" si="24"/>
        <v>30</v>
      </c>
      <c r="AA142" s="348">
        <f t="shared" ca="1" si="25"/>
        <v>6</v>
      </c>
      <c r="AB142" s="168">
        <f t="shared" ca="1" si="34"/>
        <v>0</v>
      </c>
      <c r="AF142" s="349">
        <f t="shared" ca="1" si="26"/>
        <v>99</v>
      </c>
      <c r="AG142" s="350">
        <f ca="1">MIN(AF142:AF$195)</f>
        <v>99</v>
      </c>
      <c r="AH142" s="121" t="b">
        <f t="shared" si="27"/>
        <v>0</v>
      </c>
      <c r="AJ142" s="191">
        <f t="shared" ca="1" si="28"/>
        <v>0</v>
      </c>
      <c r="AK142" s="168">
        <f>IF(D142&lt;&gt;D141,MAX(L$20:L141),AK141)</f>
        <v>0</v>
      </c>
      <c r="AL142" s="121" t="str">
        <f t="shared" si="37"/>
        <v>- -</v>
      </c>
      <c r="AM142" s="121">
        <f>MIN(K143:K$194)</f>
        <v>0</v>
      </c>
      <c r="AN142" s="352" t="str">
        <f t="shared" si="38"/>
        <v>- -</v>
      </c>
      <c r="AP142" s="352">
        <f t="shared" si="35"/>
        <v>999</v>
      </c>
      <c r="AQ142" s="143">
        <f t="shared" ca="1" si="29"/>
        <v>1</v>
      </c>
      <c r="AR142" s="143">
        <f t="shared" ca="1" si="30"/>
        <v>0</v>
      </c>
      <c r="AU142" s="281" t="str">
        <f>IF($C142=$AB$15,'NTS ONLY_set_year'!$E$143," ")&amp;$D142</f>
        <v xml:space="preserve"> </v>
      </c>
      <c r="AV142" s="121">
        <f t="shared" ca="1" si="40"/>
        <v>0</v>
      </c>
      <c r="AW142" s="198">
        <f t="shared" ca="1" si="41"/>
        <v>0</v>
      </c>
      <c r="BM142" s="352">
        <f t="shared" si="39"/>
        <v>1</v>
      </c>
      <c r="BN142" s="281">
        <f t="shared" si="39"/>
        <v>1</v>
      </c>
      <c r="BQ142" s="251"/>
      <c r="BR142" s="7"/>
      <c r="BS142" s="7"/>
      <c r="BT142" s="7"/>
      <c r="IU142" s="16"/>
    </row>
    <row r="143" spans="2:255" ht="13.2">
      <c r="B143" s="9">
        <v>124</v>
      </c>
      <c r="C143" s="17"/>
      <c r="D143" s="72"/>
      <c r="E143" s="76"/>
      <c r="F143" s="76"/>
      <c r="G143" s="76" t="str">
        <f ca="1">IF(ISBLANK(D143),IF(AND(ISNUMBER(D142),D142&lt;$AF$5),'NTS ONLY_set_year'!$E$62,"- -"),IF(D143&gt;$AF$5,$AG$5,IF(D143&gt;D142+1,$AG$6,IF(D143&lt;D142,$AG$7,Y143))))</f>
        <v>- -</v>
      </c>
      <c r="H143" s="532"/>
      <c r="I143" s="621"/>
      <c r="J143" s="534"/>
      <c r="K143" s="555"/>
      <c r="L143" s="556"/>
      <c r="M143" s="557" t="str">
        <f t="shared" si="23"/>
        <v/>
      </c>
      <c r="N143" s="558"/>
      <c r="O143" s="559"/>
      <c r="P143" s="560"/>
      <c r="Q143" s="559"/>
      <c r="R143" s="18" t="str">
        <f t="shared" si="31"/>
        <v/>
      </c>
      <c r="S143" s="36"/>
      <c r="T143" s="120" t="str">
        <f ca="1">INDEX('NTS ONLY_set_year'!E:E,MATCH(TEXT($X143,"Ddd"),'NTS ONLY_set_year'!C:C,0))</f>
        <v>Dim</v>
      </c>
      <c r="U143" s="186" t="str">
        <f t="shared" ca="1" si="32"/>
        <v>juin</v>
      </c>
      <c r="X143" s="347">
        <f t="shared" ca="1" si="36"/>
        <v>46173</v>
      </c>
      <c r="Y143" s="452" t="str">
        <f t="shared" ca="1" si="33"/>
        <v>Dim. juin , 2026</v>
      </c>
      <c r="Z143" s="143">
        <f t="shared" ca="1" si="24"/>
        <v>30</v>
      </c>
      <c r="AA143" s="348">
        <f t="shared" ca="1" si="25"/>
        <v>6</v>
      </c>
      <c r="AB143" s="168">
        <f t="shared" ca="1" si="34"/>
        <v>0</v>
      </c>
      <c r="AF143" s="349">
        <f t="shared" ca="1" si="26"/>
        <v>99</v>
      </c>
      <c r="AG143" s="350">
        <f ca="1">MIN(AF143:AF$195)</f>
        <v>99</v>
      </c>
      <c r="AH143" s="121" t="b">
        <f t="shared" si="27"/>
        <v>0</v>
      </c>
      <c r="AJ143" s="191">
        <f t="shared" ca="1" si="28"/>
        <v>0</v>
      </c>
      <c r="AK143" s="168">
        <f>IF(D143&lt;&gt;D142,MAX(L$20:L142),AK142)</f>
        <v>0</v>
      </c>
      <c r="AL143" s="121" t="str">
        <f t="shared" si="37"/>
        <v>- -</v>
      </c>
      <c r="AM143" s="121">
        <f>MIN(K144:K$194)</f>
        <v>0</v>
      </c>
      <c r="AN143" s="352" t="str">
        <f t="shared" si="38"/>
        <v>- -</v>
      </c>
      <c r="AP143" s="352">
        <f t="shared" si="35"/>
        <v>999</v>
      </c>
      <c r="AQ143" s="143">
        <f t="shared" ca="1" si="29"/>
        <v>1</v>
      </c>
      <c r="AR143" s="143">
        <f t="shared" ca="1" si="30"/>
        <v>0</v>
      </c>
      <c r="AU143" s="281" t="str">
        <f>IF($C143=$AB$15,'NTS ONLY_set_year'!$E$143," ")&amp;$D143</f>
        <v xml:space="preserve"> </v>
      </c>
      <c r="AV143" s="121">
        <f t="shared" ca="1" si="40"/>
        <v>0</v>
      </c>
      <c r="AW143" s="198">
        <f t="shared" ca="1" si="41"/>
        <v>0</v>
      </c>
      <c r="BM143" s="352">
        <f t="shared" si="39"/>
        <v>1</v>
      </c>
      <c r="BN143" s="281">
        <f t="shared" si="39"/>
        <v>1</v>
      </c>
      <c r="BQ143" s="251"/>
      <c r="BR143" s="7"/>
      <c r="BS143" s="7"/>
      <c r="BT143" s="7"/>
      <c r="IU143" s="16"/>
    </row>
    <row r="144" spans="2:255" ht="13.2">
      <c r="B144" s="9">
        <v>125</v>
      </c>
      <c r="C144" s="17"/>
      <c r="D144" s="72"/>
      <c r="E144" s="76"/>
      <c r="F144" s="76"/>
      <c r="G144" s="76" t="str">
        <f ca="1">IF(ISBLANK(D144),IF(AND(ISNUMBER(D143),D143&lt;$AF$5),'NTS ONLY_set_year'!$E$62,"- -"),IF(D144&gt;$AF$5,$AG$5,IF(D144&gt;D143+1,$AG$6,IF(D144&lt;D143,$AG$7,Y144))))</f>
        <v>- -</v>
      </c>
      <c r="H144" s="532"/>
      <c r="I144" s="621"/>
      <c r="J144" s="534"/>
      <c r="K144" s="555"/>
      <c r="L144" s="556"/>
      <c r="M144" s="557" t="str">
        <f t="shared" si="23"/>
        <v/>
      </c>
      <c r="N144" s="558"/>
      <c r="O144" s="559"/>
      <c r="P144" s="560"/>
      <c r="Q144" s="559"/>
      <c r="R144" s="18" t="str">
        <f t="shared" si="31"/>
        <v/>
      </c>
      <c r="S144" s="36"/>
      <c r="T144" s="120" t="str">
        <f ca="1">INDEX('NTS ONLY_set_year'!E:E,MATCH(TEXT($X144,"Ddd"),'NTS ONLY_set_year'!C:C,0))</f>
        <v>Dim</v>
      </c>
      <c r="U144" s="186" t="str">
        <f t="shared" ca="1" si="32"/>
        <v>juin</v>
      </c>
      <c r="X144" s="347">
        <f t="shared" ca="1" si="36"/>
        <v>46173</v>
      </c>
      <c r="Y144" s="452" t="str">
        <f t="shared" ca="1" si="33"/>
        <v>Dim. juin , 2026</v>
      </c>
      <c r="Z144" s="143">
        <f t="shared" ca="1" si="24"/>
        <v>30</v>
      </c>
      <c r="AA144" s="348">
        <f t="shared" ca="1" si="25"/>
        <v>6</v>
      </c>
      <c r="AB144" s="168">
        <f t="shared" ca="1" si="34"/>
        <v>0</v>
      </c>
      <c r="AF144" s="349">
        <f t="shared" ca="1" si="26"/>
        <v>99</v>
      </c>
      <c r="AG144" s="350">
        <f ca="1">MIN(AF144:AF$195)</f>
        <v>99</v>
      </c>
      <c r="AH144" s="121" t="b">
        <f t="shared" si="27"/>
        <v>0</v>
      </c>
      <c r="AJ144" s="191">
        <f t="shared" ca="1" si="28"/>
        <v>0</v>
      </c>
      <c r="AK144" s="168">
        <f>IF(D144&lt;&gt;D143,MAX(L$20:L143),AK143)</f>
        <v>0</v>
      </c>
      <c r="AL144" s="121" t="str">
        <f t="shared" si="37"/>
        <v>- -</v>
      </c>
      <c r="AM144" s="121">
        <f>MIN(K145:K$194)</f>
        <v>0</v>
      </c>
      <c r="AN144" s="352" t="str">
        <f t="shared" si="38"/>
        <v>- -</v>
      </c>
      <c r="AP144" s="352">
        <f t="shared" si="35"/>
        <v>999</v>
      </c>
      <c r="AQ144" s="143">
        <f t="shared" ca="1" si="29"/>
        <v>1</v>
      </c>
      <c r="AR144" s="143">
        <f t="shared" ca="1" si="30"/>
        <v>0</v>
      </c>
      <c r="AU144" s="281" t="str">
        <f>IF($C144=$AB$15,'NTS ONLY_set_year'!$E$143," ")&amp;$D144</f>
        <v xml:space="preserve"> </v>
      </c>
      <c r="AV144" s="121">
        <f t="shared" ca="1" si="40"/>
        <v>0</v>
      </c>
      <c r="AW144" s="198">
        <f t="shared" ca="1" si="41"/>
        <v>0</v>
      </c>
      <c r="BM144" s="352">
        <f t="shared" si="39"/>
        <v>1</v>
      </c>
      <c r="BN144" s="281">
        <f t="shared" si="39"/>
        <v>1</v>
      </c>
      <c r="BQ144" s="251"/>
      <c r="BR144" s="7"/>
      <c r="BS144" s="7"/>
      <c r="BT144" s="7"/>
      <c r="IU144" s="16"/>
    </row>
    <row r="145" spans="2:255" ht="13.2">
      <c r="B145" s="9">
        <v>126</v>
      </c>
      <c r="C145" s="17"/>
      <c r="D145" s="72"/>
      <c r="E145" s="76"/>
      <c r="F145" s="76"/>
      <c r="G145" s="76" t="str">
        <f ca="1">IF(ISBLANK(D145),IF(AND(ISNUMBER(D144),D144&lt;$AF$5),'NTS ONLY_set_year'!$E$62,"- -"),IF(D145&gt;$AF$5,$AG$5,IF(D145&gt;D144+1,$AG$6,IF(D145&lt;D144,$AG$7,Y145))))</f>
        <v>- -</v>
      </c>
      <c r="H145" s="532"/>
      <c r="I145" s="621"/>
      <c r="J145" s="534"/>
      <c r="K145" s="555"/>
      <c r="L145" s="556"/>
      <c r="M145" s="557" t="str">
        <f t="shared" si="23"/>
        <v/>
      </c>
      <c r="N145" s="558"/>
      <c r="O145" s="559"/>
      <c r="P145" s="560"/>
      <c r="Q145" s="559"/>
      <c r="R145" s="18" t="str">
        <f t="shared" si="31"/>
        <v/>
      </c>
      <c r="S145" s="36"/>
      <c r="T145" s="120" t="str">
        <f ca="1">INDEX('NTS ONLY_set_year'!E:E,MATCH(TEXT($X145,"Ddd"),'NTS ONLY_set_year'!C:C,0))</f>
        <v>Dim</v>
      </c>
      <c r="U145" s="186" t="str">
        <f t="shared" ca="1" si="32"/>
        <v>juin</v>
      </c>
      <c r="X145" s="347">
        <f t="shared" ca="1" si="36"/>
        <v>46173</v>
      </c>
      <c r="Y145" s="452" t="str">
        <f t="shared" ca="1" si="33"/>
        <v>Dim. juin , 2026</v>
      </c>
      <c r="Z145" s="143">
        <f t="shared" ca="1" si="24"/>
        <v>30</v>
      </c>
      <c r="AA145" s="348">
        <f t="shared" ca="1" si="25"/>
        <v>6</v>
      </c>
      <c r="AB145" s="168">
        <f t="shared" ca="1" si="34"/>
        <v>0</v>
      </c>
      <c r="AF145" s="349">
        <f t="shared" ca="1" si="26"/>
        <v>99</v>
      </c>
      <c r="AG145" s="350">
        <f ca="1">MIN(AF145:AF$195)</f>
        <v>99</v>
      </c>
      <c r="AH145" s="121" t="b">
        <f t="shared" si="27"/>
        <v>0</v>
      </c>
      <c r="AJ145" s="191">
        <f t="shared" ca="1" si="28"/>
        <v>0</v>
      </c>
      <c r="AK145" s="168">
        <f>IF(D145&lt;&gt;D144,MAX(L$20:L144),AK144)</f>
        <v>0</v>
      </c>
      <c r="AL145" s="121" t="str">
        <f t="shared" si="37"/>
        <v>- -</v>
      </c>
      <c r="AM145" s="121">
        <f>MIN(K146:K$194)</f>
        <v>0</v>
      </c>
      <c r="AN145" s="352" t="str">
        <f t="shared" si="38"/>
        <v>- -</v>
      </c>
      <c r="AP145" s="352">
        <f t="shared" si="35"/>
        <v>999</v>
      </c>
      <c r="AQ145" s="143">
        <f t="shared" ca="1" si="29"/>
        <v>1</v>
      </c>
      <c r="AR145" s="143">
        <f t="shared" ca="1" si="30"/>
        <v>0</v>
      </c>
      <c r="AU145" s="281" t="str">
        <f>IF($C145=$AB$15,'NTS ONLY_set_year'!$E$143," ")&amp;$D145</f>
        <v xml:space="preserve"> </v>
      </c>
      <c r="AV145" s="121">
        <f t="shared" ca="1" si="40"/>
        <v>0</v>
      </c>
      <c r="AW145" s="198">
        <f t="shared" ca="1" si="41"/>
        <v>0</v>
      </c>
      <c r="BM145" s="352">
        <f t="shared" si="39"/>
        <v>1</v>
      </c>
      <c r="BN145" s="281">
        <f t="shared" si="39"/>
        <v>1</v>
      </c>
      <c r="BQ145" s="251"/>
      <c r="BR145" s="7"/>
      <c r="BS145" s="7"/>
      <c r="BT145" s="7"/>
      <c r="IU145" s="16"/>
    </row>
    <row r="146" spans="2:255" ht="13.2">
      <c r="B146" s="9">
        <v>127</v>
      </c>
      <c r="C146" s="17"/>
      <c r="D146" s="72"/>
      <c r="E146" s="76"/>
      <c r="F146" s="76"/>
      <c r="G146" s="76" t="str">
        <f ca="1">IF(ISBLANK(D146),IF(AND(ISNUMBER(D145),D145&lt;$AF$5),'NTS ONLY_set_year'!$E$62,"- -"),IF(D146&gt;$AF$5,$AG$5,IF(D146&gt;D145+1,$AG$6,IF(D146&lt;D145,$AG$7,Y146))))</f>
        <v>- -</v>
      </c>
      <c r="H146" s="532"/>
      <c r="I146" s="621"/>
      <c r="J146" s="534"/>
      <c r="K146" s="555"/>
      <c r="L146" s="556"/>
      <c r="M146" s="557" t="str">
        <f t="shared" si="23"/>
        <v/>
      </c>
      <c r="N146" s="558"/>
      <c r="O146" s="559"/>
      <c r="P146" s="560"/>
      <c r="Q146" s="559"/>
      <c r="R146" s="18" t="str">
        <f t="shared" si="31"/>
        <v/>
      </c>
      <c r="S146" s="36"/>
      <c r="T146" s="120" t="str">
        <f ca="1">INDEX('NTS ONLY_set_year'!E:E,MATCH(TEXT($X146,"Ddd"),'NTS ONLY_set_year'!C:C,0))</f>
        <v>Dim</v>
      </c>
      <c r="U146" s="186" t="str">
        <f t="shared" ca="1" si="32"/>
        <v>juin</v>
      </c>
      <c r="X146" s="347">
        <f t="shared" ca="1" si="36"/>
        <v>46173</v>
      </c>
      <c r="Y146" s="452" t="str">
        <f t="shared" ca="1" si="33"/>
        <v>Dim. juin , 2026</v>
      </c>
      <c r="Z146" s="143">
        <f t="shared" ca="1" si="24"/>
        <v>30</v>
      </c>
      <c r="AA146" s="348">
        <f t="shared" ca="1" si="25"/>
        <v>6</v>
      </c>
      <c r="AB146" s="168">
        <f t="shared" ca="1" si="34"/>
        <v>0</v>
      </c>
      <c r="AF146" s="349">
        <f t="shared" ca="1" si="26"/>
        <v>99</v>
      </c>
      <c r="AG146" s="350">
        <f ca="1">MIN(AF146:AF$195)</f>
        <v>99</v>
      </c>
      <c r="AH146" s="121" t="b">
        <f t="shared" si="27"/>
        <v>0</v>
      </c>
      <c r="AJ146" s="191">
        <f t="shared" ca="1" si="28"/>
        <v>0</v>
      </c>
      <c r="AK146" s="168">
        <f>IF(D146&lt;&gt;D145,MAX(L$20:L145),AK145)</f>
        <v>0</v>
      </c>
      <c r="AL146" s="121" t="str">
        <f t="shared" si="37"/>
        <v>- -</v>
      </c>
      <c r="AM146" s="121">
        <f>MIN(K147:K$194)</f>
        <v>0</v>
      </c>
      <c r="AN146" s="352" t="str">
        <f t="shared" si="38"/>
        <v>- -</v>
      </c>
      <c r="AP146" s="352">
        <f t="shared" si="35"/>
        <v>999</v>
      </c>
      <c r="AQ146" s="143">
        <f t="shared" ca="1" si="29"/>
        <v>1</v>
      </c>
      <c r="AR146" s="143">
        <f t="shared" ca="1" si="30"/>
        <v>0</v>
      </c>
      <c r="AU146" s="281" t="str">
        <f>IF($C146=$AB$15,'NTS ONLY_set_year'!$E$143," ")&amp;$D146</f>
        <v xml:space="preserve"> </v>
      </c>
      <c r="AV146" s="121">
        <f t="shared" ca="1" si="40"/>
        <v>0</v>
      </c>
      <c r="AW146" s="198">
        <f t="shared" ca="1" si="41"/>
        <v>0</v>
      </c>
      <c r="BM146" s="352">
        <f t="shared" si="39"/>
        <v>1</v>
      </c>
      <c r="BN146" s="281">
        <f t="shared" si="39"/>
        <v>1</v>
      </c>
      <c r="BQ146" s="251"/>
      <c r="BR146" s="7"/>
      <c r="BS146" s="7"/>
      <c r="BT146" s="7"/>
      <c r="IU146" s="16"/>
    </row>
    <row r="147" spans="2:255" ht="13.2">
      <c r="B147" s="9">
        <v>128</v>
      </c>
      <c r="C147" s="17"/>
      <c r="D147" s="72"/>
      <c r="E147" s="76"/>
      <c r="F147" s="76"/>
      <c r="G147" s="76" t="str">
        <f ca="1">IF(ISBLANK(D147),IF(AND(ISNUMBER(D146),D146&lt;$AF$5),'NTS ONLY_set_year'!$E$62,"- -"),IF(D147&gt;$AF$5,$AG$5,IF(D147&gt;D146+1,$AG$6,IF(D147&lt;D146,$AG$7,Y147))))</f>
        <v>- -</v>
      </c>
      <c r="H147" s="532"/>
      <c r="I147" s="621"/>
      <c r="J147" s="534"/>
      <c r="K147" s="555"/>
      <c r="L147" s="556"/>
      <c r="M147" s="557" t="str">
        <f t="shared" si="23"/>
        <v/>
      </c>
      <c r="N147" s="558"/>
      <c r="O147" s="559"/>
      <c r="P147" s="560"/>
      <c r="Q147" s="559"/>
      <c r="R147" s="18" t="str">
        <f t="shared" si="31"/>
        <v/>
      </c>
      <c r="S147" s="36"/>
      <c r="T147" s="120" t="str">
        <f ca="1">INDEX('NTS ONLY_set_year'!E:E,MATCH(TEXT($X147,"Ddd"),'NTS ONLY_set_year'!C:C,0))</f>
        <v>Dim</v>
      </c>
      <c r="U147" s="186" t="str">
        <f t="shared" ca="1" si="32"/>
        <v>juin</v>
      </c>
      <c r="X147" s="347">
        <f t="shared" ca="1" si="36"/>
        <v>46173</v>
      </c>
      <c r="Y147" s="452" t="str">
        <f t="shared" ca="1" si="33"/>
        <v>Dim. juin , 2026</v>
      </c>
      <c r="Z147" s="143">
        <f t="shared" ca="1" si="24"/>
        <v>30</v>
      </c>
      <c r="AA147" s="348">
        <f t="shared" ca="1" si="25"/>
        <v>6</v>
      </c>
      <c r="AB147" s="168">
        <f t="shared" ca="1" si="34"/>
        <v>0</v>
      </c>
      <c r="AF147" s="349">
        <f t="shared" ca="1" si="26"/>
        <v>99</v>
      </c>
      <c r="AG147" s="350">
        <f ca="1">MIN(AF147:AF$195)</f>
        <v>99</v>
      </c>
      <c r="AH147" s="121" t="b">
        <f t="shared" si="27"/>
        <v>0</v>
      </c>
      <c r="AJ147" s="191">
        <f t="shared" ca="1" si="28"/>
        <v>0</v>
      </c>
      <c r="AK147" s="168">
        <f>IF(D147&lt;&gt;D146,MAX(L$20:L146),AK146)</f>
        <v>0</v>
      </c>
      <c r="AL147" s="121" t="str">
        <f t="shared" si="37"/>
        <v>- -</v>
      </c>
      <c r="AM147" s="121">
        <f>MIN(K148:K$194)</f>
        <v>0</v>
      </c>
      <c r="AN147" s="352" t="str">
        <f t="shared" si="38"/>
        <v>- -</v>
      </c>
      <c r="AP147" s="352">
        <f t="shared" si="35"/>
        <v>999</v>
      </c>
      <c r="AQ147" s="143">
        <f t="shared" ca="1" si="29"/>
        <v>1</v>
      </c>
      <c r="AR147" s="143">
        <f t="shared" ca="1" si="30"/>
        <v>0</v>
      </c>
      <c r="AU147" s="281" t="str">
        <f>IF($C147=$AB$15,'NTS ONLY_set_year'!$E$143," ")&amp;$D147</f>
        <v xml:space="preserve"> </v>
      </c>
      <c r="AV147" s="121">
        <f t="shared" ca="1" si="40"/>
        <v>0</v>
      </c>
      <c r="AW147" s="198">
        <f t="shared" ca="1" si="41"/>
        <v>0</v>
      </c>
      <c r="BM147" s="352">
        <f t="shared" si="39"/>
        <v>1</v>
      </c>
      <c r="BN147" s="281">
        <f t="shared" si="39"/>
        <v>1</v>
      </c>
      <c r="BQ147" s="251"/>
      <c r="BR147" s="7"/>
      <c r="BS147" s="7"/>
      <c r="BT147" s="7"/>
      <c r="IU147" s="16"/>
    </row>
    <row r="148" spans="2:255" ht="13.2">
      <c r="B148" s="9">
        <v>129</v>
      </c>
      <c r="C148" s="17"/>
      <c r="D148" s="72"/>
      <c r="E148" s="76"/>
      <c r="F148" s="76"/>
      <c r="G148" s="76" t="str">
        <f ca="1">IF(ISBLANK(D148),IF(AND(ISNUMBER(D147),D147&lt;$AF$5),'NTS ONLY_set_year'!$E$62,"- -"),IF(D148&gt;$AF$5,$AG$5,IF(D148&gt;D147+1,$AG$6,IF(D148&lt;D147,$AG$7,Y148))))</f>
        <v>- -</v>
      </c>
      <c r="H148" s="532"/>
      <c r="I148" s="621"/>
      <c r="J148" s="534"/>
      <c r="K148" s="555"/>
      <c r="L148" s="556"/>
      <c r="M148" s="557" t="str">
        <f t="shared" ref="M148:M194" si="42">IF(AND(ISNUMBER(K148),ISNUMBER(L148)),L148-K148,"")</f>
        <v/>
      </c>
      <c r="N148" s="558"/>
      <c r="O148" s="559"/>
      <c r="P148" s="560"/>
      <c r="Q148" s="559"/>
      <c r="R148" s="18" t="str">
        <f t="shared" si="31"/>
        <v/>
      </c>
      <c r="S148" s="36"/>
      <c r="T148" s="120" t="str">
        <f ca="1">INDEX('NTS ONLY_set_year'!E:E,MATCH(TEXT($X148,"Ddd"),'NTS ONLY_set_year'!C:C,0))</f>
        <v>Dim</v>
      </c>
      <c r="U148" s="186" t="str">
        <f t="shared" ca="1" si="32"/>
        <v>juin</v>
      </c>
      <c r="X148" s="347">
        <f t="shared" ca="1" si="36"/>
        <v>46173</v>
      </c>
      <c r="Y148" s="452" t="str">
        <f t="shared" ca="1" si="33"/>
        <v>Dim. juin , 2026</v>
      </c>
      <c r="Z148" s="143">
        <f t="shared" ref="Z148:Z194" ca="1" si="43">MIN(R148,$AF$5)</f>
        <v>30</v>
      </c>
      <c r="AA148" s="348">
        <f t="shared" ref="AA148:AA194" ca="1" si="44">$AD$6</f>
        <v>6</v>
      </c>
      <c r="AB148" s="168">
        <f t="shared" ca="1" si="34"/>
        <v>0</v>
      </c>
      <c r="AF148" s="349">
        <f t="shared" ref="AF148:AF194" ca="1" si="45">IF(AND(ISNUMBER(D148),D148&lt;=$Z$16),1,99)</f>
        <v>99</v>
      </c>
      <c r="AG148" s="350">
        <f ca="1">MIN(AF148:AF$195)</f>
        <v>99</v>
      </c>
      <c r="AH148" s="121" t="b">
        <f t="shared" ref="AH148:AH194" si="46">IF(AND(ISNUMBER(M148),M148&gt;0),$AH$8&amp;D148)</f>
        <v>0</v>
      </c>
      <c r="AJ148" s="191">
        <f t="shared" ref="AJ148:AJ194" ca="1" si="47">IF(AND(ISNUMBER(D148),D148&lt;=$AF$5,OR(D148&gt;D147+1,D148&lt;D147)),1,0)</f>
        <v>0</v>
      </c>
      <c r="AK148" s="168">
        <f>IF(D148&lt;&gt;D147,MAX(L$20:L147),AK147)</f>
        <v>0</v>
      </c>
      <c r="AL148" s="121" t="str">
        <f t="shared" si="37"/>
        <v>- -</v>
      </c>
      <c r="AM148" s="121">
        <f>MIN(K149:K$194)</f>
        <v>0</v>
      </c>
      <c r="AN148" s="352" t="str">
        <f t="shared" si="38"/>
        <v>- -</v>
      </c>
      <c r="AP148" s="352">
        <f t="shared" si="35"/>
        <v>999</v>
      </c>
      <c r="AQ148" s="143">
        <f t="shared" ref="AQ148:AQ194" ca="1" si="48">IF(ISNUMBER(Z147),IF(Z148&lt;&gt;Z147,Z147,AQ147),0)</f>
        <v>1</v>
      </c>
      <c r="AR148" s="143">
        <f t="shared" ref="AR148:AR194" ca="1" si="49">IF(Z148&lt;&gt;Z149,Z149,AR149)</f>
        <v>0</v>
      </c>
      <c r="AU148" s="281" t="str">
        <f>IF($C148=$AB$15,'NTS ONLY_set_year'!$E$143," ")&amp;$D148</f>
        <v xml:space="preserve"> </v>
      </c>
      <c r="AV148" s="121">
        <f t="shared" ca="1" si="40"/>
        <v>0</v>
      </c>
      <c r="AW148" s="198">
        <f t="shared" ca="1" si="41"/>
        <v>0</v>
      </c>
      <c r="BM148" s="352">
        <f t="shared" si="39"/>
        <v>1</v>
      </c>
      <c r="BN148" s="281">
        <f t="shared" si="39"/>
        <v>1</v>
      </c>
      <c r="BQ148" s="251"/>
      <c r="BR148" s="7"/>
      <c r="BS148" s="7"/>
      <c r="BT148" s="7"/>
      <c r="IU148" s="16"/>
    </row>
    <row r="149" spans="2:255" ht="13.2">
      <c r="B149" s="9">
        <v>130</v>
      </c>
      <c r="C149" s="17"/>
      <c r="D149" s="72"/>
      <c r="E149" s="76"/>
      <c r="F149" s="76"/>
      <c r="G149" s="76" t="str">
        <f ca="1">IF(ISBLANK(D149),IF(AND(ISNUMBER(D148),D148&lt;$AF$5),'NTS ONLY_set_year'!$E$62,"- -"),IF(D149&gt;$AF$5,$AG$5,IF(D149&gt;D148+1,$AG$6,IF(D149&lt;D148,$AG$7,Y149))))</f>
        <v>- -</v>
      </c>
      <c r="H149" s="532"/>
      <c r="I149" s="621"/>
      <c r="J149" s="534"/>
      <c r="K149" s="555"/>
      <c r="L149" s="556"/>
      <c r="M149" s="557" t="str">
        <f t="shared" si="42"/>
        <v/>
      </c>
      <c r="N149" s="558"/>
      <c r="O149" s="559"/>
      <c r="P149" s="560"/>
      <c r="Q149" s="559"/>
      <c r="R149" s="18" t="str">
        <f t="shared" ref="R149:R194" si="50">IF(ISBLANK(D149),"",D149)</f>
        <v/>
      </c>
      <c r="S149" s="36"/>
      <c r="T149" s="120" t="str">
        <f ca="1">INDEX('NTS ONLY_set_year'!E:E,MATCH(TEXT($X149,"Ddd"),'NTS ONLY_set_year'!C:C,0))</f>
        <v>Dim</v>
      </c>
      <c r="U149" s="186" t="str">
        <f t="shared" ref="U149:U194" ca="1" si="51">$U$19</f>
        <v>juin</v>
      </c>
      <c r="X149" s="347">
        <f t="shared" ca="1" si="36"/>
        <v>46173</v>
      </c>
      <c r="Y149" s="452" t="str">
        <f t="shared" ref="Y149:Y194" ca="1" si="52">IF(Y143="f",T149&amp;". "&amp;" "&amp;R149&amp;" "&amp;U149&amp;" "&amp;$AE$7,T149&amp;". "&amp;U149&amp;" "&amp;R149&amp;", "&amp;$AE$7)</f>
        <v>Dim. juin , 2026</v>
      </c>
      <c r="Z149" s="143">
        <f t="shared" ca="1" si="43"/>
        <v>30</v>
      </c>
      <c r="AA149" s="348">
        <f t="shared" ca="1" si="44"/>
        <v>6</v>
      </c>
      <c r="AB149" s="168">
        <f t="shared" ref="AB149:AB194" ca="1" si="53">MAX(0,M149)*AW149</f>
        <v>0</v>
      </c>
      <c r="AF149" s="349">
        <f t="shared" ca="1" si="45"/>
        <v>99</v>
      </c>
      <c r="AG149" s="350">
        <f ca="1">MIN(AF149:AF$195)</f>
        <v>99</v>
      </c>
      <c r="AH149" s="121" t="b">
        <f t="shared" si="46"/>
        <v>0</v>
      </c>
      <c r="AJ149" s="191">
        <f t="shared" ca="1" si="47"/>
        <v>0</v>
      </c>
      <c r="AK149" s="168">
        <f>IF(D149&lt;&gt;D148,MAX(L$20:L148),AK148)</f>
        <v>0</v>
      </c>
      <c r="AL149" s="121" t="str">
        <f t="shared" si="37"/>
        <v>- -</v>
      </c>
      <c r="AM149" s="121">
        <f>MIN(K150:K$194)</f>
        <v>0</v>
      </c>
      <c r="AN149" s="352" t="str">
        <f t="shared" si="38"/>
        <v>- -</v>
      </c>
      <c r="AP149" s="352">
        <f t="shared" ref="AP149:AP194" si="54">IF(AND(AM149&gt;0,LEN(AL149&amp;AN149)&gt;6),Z149,999)</f>
        <v>999</v>
      </c>
      <c r="AQ149" s="143">
        <f t="shared" ca="1" si="48"/>
        <v>1</v>
      </c>
      <c r="AR149" s="143">
        <f t="shared" ca="1" si="49"/>
        <v>0</v>
      </c>
      <c r="AU149" s="281" t="str">
        <f>IF($C149=$AB$15,'NTS ONLY_set_year'!$E$143," ")&amp;$D149</f>
        <v xml:space="preserve"> </v>
      </c>
      <c r="AV149" s="121">
        <f t="shared" ca="1" si="40"/>
        <v>0</v>
      </c>
      <c r="AW149" s="198">
        <f t="shared" ca="1" si="41"/>
        <v>0</v>
      </c>
      <c r="BM149" s="352">
        <f t="shared" si="39"/>
        <v>1</v>
      </c>
      <c r="BN149" s="281">
        <f t="shared" si="39"/>
        <v>1</v>
      </c>
      <c r="BQ149" s="251"/>
      <c r="BR149" s="7"/>
      <c r="BS149" s="7"/>
      <c r="BT149" s="7"/>
      <c r="IU149" s="16"/>
    </row>
    <row r="150" spans="2:255" ht="13.2">
      <c r="B150" s="9">
        <v>131</v>
      </c>
      <c r="C150" s="17"/>
      <c r="D150" s="72"/>
      <c r="E150" s="76"/>
      <c r="F150" s="76"/>
      <c r="G150" s="76" t="str">
        <f ca="1">IF(ISBLANK(D150),IF(AND(ISNUMBER(D149),D149&lt;$AF$5),'NTS ONLY_set_year'!$E$62,"- -"),IF(D150&gt;$AF$5,$AG$5,IF(D150&gt;D149+1,$AG$6,IF(D150&lt;D149,$AG$7,Y150))))</f>
        <v>- -</v>
      </c>
      <c r="H150" s="532"/>
      <c r="I150" s="621"/>
      <c r="J150" s="534"/>
      <c r="K150" s="555"/>
      <c r="L150" s="556"/>
      <c r="M150" s="557" t="str">
        <f t="shared" si="42"/>
        <v/>
      </c>
      <c r="N150" s="558"/>
      <c r="O150" s="559"/>
      <c r="P150" s="560"/>
      <c r="Q150" s="559"/>
      <c r="R150" s="18" t="str">
        <f t="shared" si="50"/>
        <v/>
      </c>
      <c r="S150" s="36"/>
      <c r="T150" s="120" t="str">
        <f ca="1">INDEX('NTS ONLY_set_year'!E:E,MATCH(TEXT($X150,"Ddd"),'NTS ONLY_set_year'!C:C,0))</f>
        <v>Dim</v>
      </c>
      <c r="U150" s="186" t="str">
        <f t="shared" ca="1" si="51"/>
        <v>juin</v>
      </c>
      <c r="X150" s="347">
        <f t="shared" ref="X150:X194" ca="1" si="55">$AE$8+D150</f>
        <v>46173</v>
      </c>
      <c r="Y150" s="452" t="str">
        <f t="shared" ca="1" si="52"/>
        <v>Dim. juin , 2026</v>
      </c>
      <c r="Z150" s="143">
        <f t="shared" ca="1" si="43"/>
        <v>30</v>
      </c>
      <c r="AA150" s="348">
        <f t="shared" ca="1" si="44"/>
        <v>6</v>
      </c>
      <c r="AB150" s="168">
        <f t="shared" ca="1" si="53"/>
        <v>0</v>
      </c>
      <c r="AF150" s="349">
        <f t="shared" ca="1" si="45"/>
        <v>99</v>
      </c>
      <c r="AG150" s="350">
        <f ca="1">MIN(AF150:AF$195)</f>
        <v>99</v>
      </c>
      <c r="AH150" s="121" t="b">
        <f t="shared" si="46"/>
        <v>0</v>
      </c>
      <c r="AJ150" s="191">
        <f t="shared" ca="1" si="47"/>
        <v>0</v>
      </c>
      <c r="AK150" s="168">
        <f>IF(D150&lt;&gt;D149,MAX(L$20:L149),AK149)</f>
        <v>0</v>
      </c>
      <c r="AL150" s="121" t="str">
        <f t="shared" ref="AL150:AL194" si="56">IF(ISNUMBER(K150),IF(K150&lt;AK150,$AL$19,"- -"),"- -")</f>
        <v>- -</v>
      </c>
      <c r="AM150" s="121">
        <f>MIN(K151:K$194)</f>
        <v>0</v>
      </c>
      <c r="AN150" s="352" t="str">
        <f t="shared" ref="AN150:AN194" si="57">IF(AND(AM150&gt;0,ISNUMBER(L150)),IF(L150&gt;AM150,$AN$19,"- -"),"- -")</f>
        <v>- -</v>
      </c>
      <c r="AP150" s="352">
        <f t="shared" si="54"/>
        <v>999</v>
      </c>
      <c r="AQ150" s="143">
        <f t="shared" ca="1" si="48"/>
        <v>1</v>
      </c>
      <c r="AR150" s="143">
        <f t="shared" ca="1" si="49"/>
        <v>0</v>
      </c>
      <c r="AU150" s="281" t="str">
        <f>IF($C150=$AB$15,'NTS ONLY_set_year'!$E$143," ")&amp;$D150</f>
        <v xml:space="preserve"> </v>
      </c>
      <c r="AV150" s="121">
        <f t="shared" ca="1" si="40"/>
        <v>0</v>
      </c>
      <c r="AW150" s="198">
        <f t="shared" ca="1" si="41"/>
        <v>0</v>
      </c>
      <c r="BM150" s="352">
        <f t="shared" ref="BM150:BN194" si="58">IF(OR(NOT(ISNUMBER(K150)),AND(K150&gt;=$BF$10,K150&lt;=$BF$11),AND(K150&gt;=$BJ$10,K150&lt;=$BJ$11),AND(K150&gt;=$BK$10,K150&lt;=$BK$11),AND(K150&gt;=$BL$10,K150&lt;=$BL$11),AND(K150&gt;=$BM$10,K150&lt;=$BM$11),AND(K150&gt;=$BN$10,K150&lt;=$BN$11)),1,999)</f>
        <v>1</v>
      </c>
      <c r="BN150" s="281">
        <f t="shared" si="58"/>
        <v>1</v>
      </c>
      <c r="BQ150" s="251"/>
      <c r="BR150" s="7"/>
      <c r="BS150" s="7"/>
      <c r="BT150" s="7"/>
      <c r="IU150" s="16"/>
    </row>
    <row r="151" spans="2:255" ht="13.2">
      <c r="B151" s="9">
        <v>132</v>
      </c>
      <c r="C151" s="17"/>
      <c r="D151" s="72"/>
      <c r="E151" s="76"/>
      <c r="F151" s="76"/>
      <c r="G151" s="76" t="str">
        <f ca="1">IF(ISBLANK(D151),IF(AND(ISNUMBER(D150),D150&lt;$AF$5),'NTS ONLY_set_year'!$E$62,"- -"),IF(D151&gt;$AF$5,$AG$5,IF(D151&gt;D150+1,$AG$6,IF(D151&lt;D150,$AG$7,Y151))))</f>
        <v>- -</v>
      </c>
      <c r="H151" s="532"/>
      <c r="I151" s="621"/>
      <c r="J151" s="534"/>
      <c r="K151" s="555"/>
      <c r="L151" s="556"/>
      <c r="M151" s="557" t="str">
        <f t="shared" si="42"/>
        <v/>
      </c>
      <c r="N151" s="558"/>
      <c r="O151" s="559"/>
      <c r="P151" s="560"/>
      <c r="Q151" s="559"/>
      <c r="R151" s="18" t="str">
        <f t="shared" si="50"/>
        <v/>
      </c>
      <c r="S151" s="36"/>
      <c r="T151" s="120" t="str">
        <f ca="1">INDEX('NTS ONLY_set_year'!E:E,MATCH(TEXT($X151,"Ddd"),'NTS ONLY_set_year'!C:C,0))</f>
        <v>Dim</v>
      </c>
      <c r="U151" s="186" t="str">
        <f t="shared" ca="1" si="51"/>
        <v>juin</v>
      </c>
      <c r="X151" s="347">
        <f t="shared" ca="1" si="55"/>
        <v>46173</v>
      </c>
      <c r="Y151" s="452" t="str">
        <f t="shared" ca="1" si="52"/>
        <v>Dim. juin , 2026</v>
      </c>
      <c r="Z151" s="143">
        <f t="shared" ca="1" si="43"/>
        <v>30</v>
      </c>
      <c r="AA151" s="348">
        <f t="shared" ca="1" si="44"/>
        <v>6</v>
      </c>
      <c r="AB151" s="168">
        <f t="shared" ca="1" si="53"/>
        <v>0</v>
      </c>
      <c r="AF151" s="349">
        <f t="shared" ca="1" si="45"/>
        <v>99</v>
      </c>
      <c r="AG151" s="350">
        <f ca="1">MIN(AF151:AF$195)</f>
        <v>99</v>
      </c>
      <c r="AH151" s="121" t="b">
        <f t="shared" si="46"/>
        <v>0</v>
      </c>
      <c r="AJ151" s="191">
        <f t="shared" ca="1" si="47"/>
        <v>0</v>
      </c>
      <c r="AK151" s="168">
        <f>IF(D151&lt;&gt;D150,MAX(L$20:L150),AK150)</f>
        <v>0</v>
      </c>
      <c r="AL151" s="121" t="str">
        <f t="shared" si="56"/>
        <v>- -</v>
      </c>
      <c r="AM151" s="121">
        <f>MIN(K152:K$194)</f>
        <v>0</v>
      </c>
      <c r="AN151" s="352" t="str">
        <f t="shared" si="57"/>
        <v>- -</v>
      </c>
      <c r="AP151" s="352">
        <f t="shared" si="54"/>
        <v>999</v>
      </c>
      <c r="AQ151" s="143">
        <f t="shared" ca="1" si="48"/>
        <v>1</v>
      </c>
      <c r="AR151" s="143">
        <f t="shared" ca="1" si="49"/>
        <v>0</v>
      </c>
      <c r="AU151" s="281" t="str">
        <f>IF($C151=$AB$15,'NTS ONLY_set_year'!$E$143," ")&amp;$D151</f>
        <v xml:space="preserve"> </v>
      </c>
      <c r="AV151" s="121">
        <f t="shared" ca="1" si="40"/>
        <v>0</v>
      </c>
      <c r="AW151" s="198">
        <f t="shared" ca="1" si="41"/>
        <v>0</v>
      </c>
      <c r="BM151" s="352">
        <f t="shared" si="58"/>
        <v>1</v>
      </c>
      <c r="BN151" s="281">
        <f t="shared" si="58"/>
        <v>1</v>
      </c>
      <c r="BQ151" s="251"/>
      <c r="BR151" s="7"/>
      <c r="BS151" s="7"/>
      <c r="BT151" s="7"/>
      <c r="IU151" s="16"/>
    </row>
    <row r="152" spans="2:255" ht="13.2">
      <c r="B152" s="9">
        <v>133</v>
      </c>
      <c r="C152" s="17"/>
      <c r="D152" s="72"/>
      <c r="E152" s="76"/>
      <c r="F152" s="76"/>
      <c r="G152" s="76" t="str">
        <f ca="1">IF(ISBLANK(D152),IF(AND(ISNUMBER(D151),D151&lt;$AF$5),'NTS ONLY_set_year'!$E$62,"- -"),IF(D152&gt;$AF$5,$AG$5,IF(D152&gt;D151+1,$AG$6,IF(D152&lt;D151,$AG$7,Y152))))</f>
        <v>- -</v>
      </c>
      <c r="H152" s="532"/>
      <c r="I152" s="621"/>
      <c r="J152" s="534"/>
      <c r="K152" s="555"/>
      <c r="L152" s="556"/>
      <c r="M152" s="557" t="str">
        <f t="shared" si="42"/>
        <v/>
      </c>
      <c r="N152" s="558"/>
      <c r="O152" s="559"/>
      <c r="P152" s="560"/>
      <c r="Q152" s="559"/>
      <c r="R152" s="18" t="str">
        <f t="shared" si="50"/>
        <v/>
      </c>
      <c r="S152" s="36"/>
      <c r="T152" s="120" t="str">
        <f ca="1">INDEX('NTS ONLY_set_year'!E:E,MATCH(TEXT($X152,"Ddd"),'NTS ONLY_set_year'!C:C,0))</f>
        <v>Dim</v>
      </c>
      <c r="U152" s="186" t="str">
        <f t="shared" ca="1" si="51"/>
        <v>juin</v>
      </c>
      <c r="X152" s="347">
        <f t="shared" ca="1" si="55"/>
        <v>46173</v>
      </c>
      <c r="Y152" s="452" t="str">
        <f t="shared" ca="1" si="52"/>
        <v>Dim. juin , 2026</v>
      </c>
      <c r="Z152" s="143">
        <f t="shared" ca="1" si="43"/>
        <v>30</v>
      </c>
      <c r="AA152" s="348">
        <f t="shared" ca="1" si="44"/>
        <v>6</v>
      </c>
      <c r="AB152" s="168">
        <f t="shared" ca="1" si="53"/>
        <v>0</v>
      </c>
      <c r="AF152" s="349">
        <f t="shared" ca="1" si="45"/>
        <v>99</v>
      </c>
      <c r="AG152" s="350">
        <f ca="1">MIN(AF152:AF$195)</f>
        <v>99</v>
      </c>
      <c r="AH152" s="121" t="b">
        <f t="shared" si="46"/>
        <v>0</v>
      </c>
      <c r="AJ152" s="191">
        <f t="shared" ca="1" si="47"/>
        <v>0</v>
      </c>
      <c r="AK152" s="168">
        <f>IF(D152&lt;&gt;D151,MAX(L$20:L151),AK151)</f>
        <v>0</v>
      </c>
      <c r="AL152" s="121" t="str">
        <f t="shared" si="56"/>
        <v>- -</v>
      </c>
      <c r="AM152" s="121">
        <f>MIN(K153:K$194)</f>
        <v>0</v>
      </c>
      <c r="AN152" s="352" t="str">
        <f t="shared" si="57"/>
        <v>- -</v>
      </c>
      <c r="AP152" s="352">
        <f t="shared" si="54"/>
        <v>999</v>
      </c>
      <c r="AQ152" s="143">
        <f t="shared" ca="1" si="48"/>
        <v>1</v>
      </c>
      <c r="AR152" s="143">
        <f t="shared" ca="1" si="49"/>
        <v>0</v>
      </c>
      <c r="AU152" s="281" t="str">
        <f>IF($C152=$AB$15,'NTS ONLY_set_year'!$E$143," ")&amp;$D152</f>
        <v xml:space="preserve"> </v>
      </c>
      <c r="AV152" s="121">
        <f t="shared" ca="1" si="40"/>
        <v>0</v>
      </c>
      <c r="AW152" s="198">
        <f t="shared" ca="1" si="41"/>
        <v>0</v>
      </c>
      <c r="BM152" s="352">
        <f t="shared" si="58"/>
        <v>1</v>
      </c>
      <c r="BN152" s="281">
        <f t="shared" si="58"/>
        <v>1</v>
      </c>
      <c r="BQ152" s="251"/>
      <c r="BR152" s="7"/>
      <c r="BS152" s="7"/>
      <c r="BT152" s="7"/>
      <c r="IU152" s="16"/>
    </row>
    <row r="153" spans="2:255" ht="13.2">
      <c r="B153" s="9">
        <v>134</v>
      </c>
      <c r="C153" s="17"/>
      <c r="D153" s="72"/>
      <c r="E153" s="76"/>
      <c r="F153" s="76"/>
      <c r="G153" s="76" t="str">
        <f ca="1">IF(ISBLANK(D153),IF(AND(ISNUMBER(D152),D152&lt;$AF$5),'NTS ONLY_set_year'!$E$62,"- -"),IF(D153&gt;$AF$5,$AG$5,IF(D153&gt;D152+1,$AG$6,IF(D153&lt;D152,$AG$7,Y153))))</f>
        <v>- -</v>
      </c>
      <c r="H153" s="532"/>
      <c r="I153" s="621"/>
      <c r="J153" s="534"/>
      <c r="K153" s="555"/>
      <c r="L153" s="556"/>
      <c r="M153" s="557" t="str">
        <f t="shared" si="42"/>
        <v/>
      </c>
      <c r="N153" s="558"/>
      <c r="O153" s="559"/>
      <c r="P153" s="560"/>
      <c r="Q153" s="559"/>
      <c r="R153" s="18" t="str">
        <f t="shared" si="50"/>
        <v/>
      </c>
      <c r="S153" s="36"/>
      <c r="T153" s="120" t="str">
        <f ca="1">INDEX('NTS ONLY_set_year'!E:E,MATCH(TEXT($X153,"Ddd"),'NTS ONLY_set_year'!C:C,0))</f>
        <v>Dim</v>
      </c>
      <c r="U153" s="186" t="str">
        <f t="shared" ca="1" si="51"/>
        <v>juin</v>
      </c>
      <c r="X153" s="347">
        <f t="shared" ca="1" si="55"/>
        <v>46173</v>
      </c>
      <c r="Y153" s="452" t="str">
        <f t="shared" ca="1" si="52"/>
        <v>Dim. juin , 2026</v>
      </c>
      <c r="Z153" s="143">
        <f t="shared" ca="1" si="43"/>
        <v>30</v>
      </c>
      <c r="AA153" s="348">
        <f t="shared" ca="1" si="44"/>
        <v>6</v>
      </c>
      <c r="AB153" s="168">
        <f t="shared" ca="1" si="53"/>
        <v>0</v>
      </c>
      <c r="AF153" s="349">
        <f t="shared" ca="1" si="45"/>
        <v>99</v>
      </c>
      <c r="AG153" s="350">
        <f ca="1">MIN(AF153:AF$195)</f>
        <v>99</v>
      </c>
      <c r="AH153" s="121" t="b">
        <f t="shared" si="46"/>
        <v>0</v>
      </c>
      <c r="AJ153" s="191">
        <f t="shared" ca="1" si="47"/>
        <v>0</v>
      </c>
      <c r="AK153" s="168">
        <f>IF(D153&lt;&gt;D152,MAX(L$20:L152),AK152)</f>
        <v>0</v>
      </c>
      <c r="AL153" s="121" t="str">
        <f t="shared" si="56"/>
        <v>- -</v>
      </c>
      <c r="AM153" s="121">
        <f>MIN(K154:K$194)</f>
        <v>0</v>
      </c>
      <c r="AN153" s="352" t="str">
        <f t="shared" si="57"/>
        <v>- -</v>
      </c>
      <c r="AP153" s="352">
        <f t="shared" si="54"/>
        <v>999</v>
      </c>
      <c r="AQ153" s="143">
        <f t="shared" ca="1" si="48"/>
        <v>1</v>
      </c>
      <c r="AR153" s="143">
        <f t="shared" ca="1" si="49"/>
        <v>0</v>
      </c>
      <c r="AU153" s="281" t="str">
        <f>IF($C153=$AB$15,'NTS ONLY_set_year'!$E$143," ")&amp;$D153</f>
        <v xml:space="preserve"> </v>
      </c>
      <c r="AV153" s="121">
        <f t="shared" ref="AV153:AV194" ca="1" si="59">IF($X$16=$X$14,0,IF(ISERROR(INDEX($AK$2:$BO$2,D153)),0,(INDEX($AK$2:$BO$2,D153))))</f>
        <v>0</v>
      </c>
      <c r="AW153" s="198">
        <f t="shared" ca="1" si="41"/>
        <v>0</v>
      </c>
      <c r="BM153" s="352">
        <f t="shared" si="58"/>
        <v>1</v>
      </c>
      <c r="BN153" s="281">
        <f t="shared" si="58"/>
        <v>1</v>
      </c>
      <c r="BQ153" s="251"/>
      <c r="BR153" s="7"/>
      <c r="BS153" s="7"/>
      <c r="BT153" s="7"/>
      <c r="IU153" s="16"/>
    </row>
    <row r="154" spans="2:255" ht="13.2">
      <c r="B154" s="9">
        <v>135</v>
      </c>
      <c r="C154" s="17"/>
      <c r="D154" s="72"/>
      <c r="E154" s="76"/>
      <c r="F154" s="76"/>
      <c r="G154" s="76" t="str">
        <f ca="1">IF(ISBLANK(D154),IF(AND(ISNUMBER(D153),D153&lt;$AF$5),'NTS ONLY_set_year'!$E$62,"- -"),IF(D154&gt;$AF$5,$AG$5,IF(D154&gt;D153+1,$AG$6,IF(D154&lt;D153,$AG$7,Y154))))</f>
        <v>- -</v>
      </c>
      <c r="H154" s="532"/>
      <c r="I154" s="621"/>
      <c r="J154" s="534"/>
      <c r="K154" s="555"/>
      <c r="L154" s="556"/>
      <c r="M154" s="557" t="str">
        <f t="shared" si="42"/>
        <v/>
      </c>
      <c r="N154" s="558"/>
      <c r="O154" s="559"/>
      <c r="P154" s="560"/>
      <c r="Q154" s="559"/>
      <c r="R154" s="18" t="str">
        <f t="shared" si="50"/>
        <v/>
      </c>
      <c r="S154" s="36"/>
      <c r="T154" s="120" t="str">
        <f ca="1">INDEX('NTS ONLY_set_year'!E:E,MATCH(TEXT($X154,"Ddd"),'NTS ONLY_set_year'!C:C,0))</f>
        <v>Dim</v>
      </c>
      <c r="U154" s="186" t="str">
        <f t="shared" ca="1" si="51"/>
        <v>juin</v>
      </c>
      <c r="X154" s="347">
        <f t="shared" ca="1" si="55"/>
        <v>46173</v>
      </c>
      <c r="Y154" s="452" t="str">
        <f t="shared" ca="1" si="52"/>
        <v>Dim. juin , 2026</v>
      </c>
      <c r="Z154" s="143">
        <f t="shared" ca="1" si="43"/>
        <v>30</v>
      </c>
      <c r="AA154" s="348">
        <f t="shared" ca="1" si="44"/>
        <v>6</v>
      </c>
      <c r="AB154" s="168">
        <f t="shared" ca="1" si="53"/>
        <v>0</v>
      </c>
      <c r="AF154" s="349">
        <f t="shared" ca="1" si="45"/>
        <v>99</v>
      </c>
      <c r="AG154" s="350">
        <f ca="1">MIN(AF154:AF$195)</f>
        <v>99</v>
      </c>
      <c r="AH154" s="121" t="b">
        <f t="shared" si="46"/>
        <v>0</v>
      </c>
      <c r="AJ154" s="191">
        <f t="shared" ca="1" si="47"/>
        <v>0</v>
      </c>
      <c r="AK154" s="168">
        <f>IF(D154&lt;&gt;D153,MAX(L$20:L153),AK153)</f>
        <v>0</v>
      </c>
      <c r="AL154" s="121" t="str">
        <f t="shared" si="56"/>
        <v>- -</v>
      </c>
      <c r="AM154" s="121">
        <f>MIN(K155:K$194)</f>
        <v>0</v>
      </c>
      <c r="AN154" s="352" t="str">
        <f t="shared" si="57"/>
        <v>- -</v>
      </c>
      <c r="AP154" s="352">
        <f t="shared" si="54"/>
        <v>999</v>
      </c>
      <c r="AQ154" s="143">
        <f t="shared" ca="1" si="48"/>
        <v>1</v>
      </c>
      <c r="AR154" s="143">
        <f t="shared" ca="1" si="49"/>
        <v>0</v>
      </c>
      <c r="AU154" s="281" t="str">
        <f>IF($C154=$AB$15,'NTS ONLY_set_year'!$E$143," ")&amp;$D154</f>
        <v xml:space="preserve"> </v>
      </c>
      <c r="AV154" s="121">
        <f t="shared" ca="1" si="59"/>
        <v>0</v>
      </c>
      <c r="AW154" s="198">
        <f t="shared" ca="1" si="41"/>
        <v>0</v>
      </c>
      <c r="BM154" s="352">
        <f t="shared" si="58"/>
        <v>1</v>
      </c>
      <c r="BN154" s="281">
        <f t="shared" si="58"/>
        <v>1</v>
      </c>
      <c r="BQ154" s="251"/>
      <c r="BR154" s="7"/>
      <c r="BS154" s="7"/>
      <c r="BT154" s="7"/>
      <c r="IU154" s="16"/>
    </row>
    <row r="155" spans="2:255" ht="13.2">
      <c r="B155" s="9">
        <v>136</v>
      </c>
      <c r="C155" s="17"/>
      <c r="D155" s="72"/>
      <c r="E155" s="76"/>
      <c r="F155" s="76"/>
      <c r="G155" s="76" t="str">
        <f ca="1">IF(ISBLANK(D155),IF(AND(ISNUMBER(D154),D154&lt;$AF$5),'NTS ONLY_set_year'!$E$62,"- -"),IF(D155&gt;$AF$5,$AG$5,IF(D155&gt;D154+1,$AG$6,IF(D155&lt;D154,$AG$7,Y155))))</f>
        <v>- -</v>
      </c>
      <c r="H155" s="532"/>
      <c r="I155" s="621"/>
      <c r="J155" s="534"/>
      <c r="K155" s="555"/>
      <c r="L155" s="556"/>
      <c r="M155" s="557" t="str">
        <f t="shared" si="42"/>
        <v/>
      </c>
      <c r="N155" s="558"/>
      <c r="O155" s="559"/>
      <c r="P155" s="560"/>
      <c r="Q155" s="559"/>
      <c r="R155" s="18" t="str">
        <f t="shared" si="50"/>
        <v/>
      </c>
      <c r="S155" s="36"/>
      <c r="T155" s="120" t="str">
        <f ca="1">INDEX('NTS ONLY_set_year'!E:E,MATCH(TEXT($X155,"Ddd"),'NTS ONLY_set_year'!C:C,0))</f>
        <v>Dim</v>
      </c>
      <c r="U155" s="186" t="str">
        <f t="shared" ca="1" si="51"/>
        <v>juin</v>
      </c>
      <c r="X155" s="347">
        <f t="shared" ca="1" si="55"/>
        <v>46173</v>
      </c>
      <c r="Y155" s="452" t="str">
        <f t="shared" ca="1" si="52"/>
        <v>Dim. juin , 2026</v>
      </c>
      <c r="Z155" s="143">
        <f t="shared" ca="1" si="43"/>
        <v>30</v>
      </c>
      <c r="AA155" s="348">
        <f t="shared" ca="1" si="44"/>
        <v>6</v>
      </c>
      <c r="AB155" s="168">
        <f t="shared" ca="1" si="53"/>
        <v>0</v>
      </c>
      <c r="AF155" s="349">
        <f t="shared" ca="1" si="45"/>
        <v>99</v>
      </c>
      <c r="AG155" s="350">
        <f ca="1">MIN(AF155:AF$195)</f>
        <v>99</v>
      </c>
      <c r="AH155" s="121" t="b">
        <f t="shared" si="46"/>
        <v>0</v>
      </c>
      <c r="AJ155" s="191">
        <f t="shared" ca="1" si="47"/>
        <v>0</v>
      </c>
      <c r="AK155" s="168">
        <f>IF(D155&lt;&gt;D154,MAX(L$20:L154),AK154)</f>
        <v>0</v>
      </c>
      <c r="AL155" s="121" t="str">
        <f t="shared" si="56"/>
        <v>- -</v>
      </c>
      <c r="AM155" s="121">
        <f>MIN(K156:K$194)</f>
        <v>0</v>
      </c>
      <c r="AN155" s="352" t="str">
        <f t="shared" si="57"/>
        <v>- -</v>
      </c>
      <c r="AP155" s="352">
        <f t="shared" si="54"/>
        <v>999</v>
      </c>
      <c r="AQ155" s="143">
        <f t="shared" ca="1" si="48"/>
        <v>1</v>
      </c>
      <c r="AR155" s="143">
        <f t="shared" ca="1" si="49"/>
        <v>0</v>
      </c>
      <c r="AU155" s="281" t="str">
        <f>IF($C155=$AB$15,'NTS ONLY_set_year'!$E$143," ")&amp;$D155</f>
        <v xml:space="preserve"> </v>
      </c>
      <c r="AV155" s="121">
        <f t="shared" ca="1" si="59"/>
        <v>0</v>
      </c>
      <c r="AW155" s="198">
        <f t="shared" ca="1" si="41"/>
        <v>0</v>
      </c>
      <c r="BM155" s="352">
        <f t="shared" si="58"/>
        <v>1</v>
      </c>
      <c r="BN155" s="281">
        <f t="shared" si="58"/>
        <v>1</v>
      </c>
      <c r="BQ155" s="251"/>
      <c r="BR155" s="7"/>
      <c r="BS155" s="7"/>
      <c r="BT155" s="7"/>
      <c r="IU155" s="16"/>
    </row>
    <row r="156" spans="2:255" ht="13.2">
      <c r="B156" s="9">
        <v>137</v>
      </c>
      <c r="C156" s="17"/>
      <c r="D156" s="72"/>
      <c r="E156" s="76"/>
      <c r="F156" s="76"/>
      <c r="G156" s="76" t="str">
        <f ca="1">IF(ISBLANK(D156),IF(AND(ISNUMBER(D155),D155&lt;$AF$5),'NTS ONLY_set_year'!$E$62,"- -"),IF(D156&gt;$AF$5,$AG$5,IF(D156&gt;D155+1,$AG$6,IF(D156&lt;D155,$AG$7,Y156))))</f>
        <v>- -</v>
      </c>
      <c r="H156" s="532"/>
      <c r="I156" s="621"/>
      <c r="J156" s="534"/>
      <c r="K156" s="555"/>
      <c r="L156" s="556"/>
      <c r="M156" s="557" t="str">
        <f t="shared" si="42"/>
        <v/>
      </c>
      <c r="N156" s="558"/>
      <c r="O156" s="559"/>
      <c r="P156" s="560"/>
      <c r="Q156" s="559"/>
      <c r="R156" s="18" t="str">
        <f t="shared" si="50"/>
        <v/>
      </c>
      <c r="S156" s="36"/>
      <c r="T156" s="120" t="str">
        <f ca="1">INDEX('NTS ONLY_set_year'!E:E,MATCH(TEXT($X156,"Ddd"),'NTS ONLY_set_year'!C:C,0))</f>
        <v>Dim</v>
      </c>
      <c r="U156" s="186" t="str">
        <f t="shared" ca="1" si="51"/>
        <v>juin</v>
      </c>
      <c r="X156" s="347">
        <f t="shared" ca="1" si="55"/>
        <v>46173</v>
      </c>
      <c r="Y156" s="452" t="str">
        <f t="shared" ca="1" si="52"/>
        <v>Dim. juin , 2026</v>
      </c>
      <c r="Z156" s="143">
        <f t="shared" ca="1" si="43"/>
        <v>30</v>
      </c>
      <c r="AA156" s="348">
        <f t="shared" ca="1" si="44"/>
        <v>6</v>
      </c>
      <c r="AB156" s="168">
        <f t="shared" ca="1" si="53"/>
        <v>0</v>
      </c>
      <c r="AF156" s="349">
        <f t="shared" ca="1" si="45"/>
        <v>99</v>
      </c>
      <c r="AG156" s="350">
        <f ca="1">MIN(AF156:AF$195)</f>
        <v>99</v>
      </c>
      <c r="AH156" s="121" t="b">
        <f t="shared" si="46"/>
        <v>0</v>
      </c>
      <c r="AJ156" s="191">
        <f t="shared" ca="1" si="47"/>
        <v>0</v>
      </c>
      <c r="AK156" s="168">
        <f>IF(D156&lt;&gt;D155,MAX(L$20:L155),AK155)</f>
        <v>0</v>
      </c>
      <c r="AL156" s="121" t="str">
        <f t="shared" si="56"/>
        <v>- -</v>
      </c>
      <c r="AM156" s="121">
        <f>MIN(K157:K$194)</f>
        <v>0</v>
      </c>
      <c r="AN156" s="352" t="str">
        <f t="shared" si="57"/>
        <v>- -</v>
      </c>
      <c r="AP156" s="352">
        <f t="shared" si="54"/>
        <v>999</v>
      </c>
      <c r="AQ156" s="143">
        <f t="shared" ca="1" si="48"/>
        <v>1</v>
      </c>
      <c r="AR156" s="143">
        <f t="shared" ca="1" si="49"/>
        <v>0</v>
      </c>
      <c r="AU156" s="281" t="str">
        <f>IF($C156=$AB$15,'NTS ONLY_set_year'!$E$143," ")&amp;$D156</f>
        <v xml:space="preserve"> </v>
      </c>
      <c r="AV156" s="121">
        <f t="shared" ca="1" si="59"/>
        <v>0</v>
      </c>
      <c r="AW156" s="198">
        <f t="shared" ca="1" si="41"/>
        <v>0</v>
      </c>
      <c r="BM156" s="352">
        <f t="shared" si="58"/>
        <v>1</v>
      </c>
      <c r="BN156" s="281">
        <f t="shared" si="58"/>
        <v>1</v>
      </c>
      <c r="BQ156" s="251"/>
      <c r="BR156" s="7"/>
      <c r="BS156" s="7"/>
      <c r="BT156" s="7"/>
      <c r="IU156" s="16"/>
    </row>
    <row r="157" spans="2:255" ht="13.2">
      <c r="B157" s="9">
        <v>138</v>
      </c>
      <c r="C157" s="17"/>
      <c r="D157" s="72"/>
      <c r="E157" s="76"/>
      <c r="F157" s="76"/>
      <c r="G157" s="76" t="str">
        <f ca="1">IF(ISBLANK(D157),IF(AND(ISNUMBER(D156),D156&lt;$AF$5),'NTS ONLY_set_year'!$E$62,"- -"),IF(D157&gt;$AF$5,$AG$5,IF(D157&gt;D156+1,$AG$6,IF(D157&lt;D156,$AG$7,Y157))))</f>
        <v>- -</v>
      </c>
      <c r="H157" s="532"/>
      <c r="I157" s="621"/>
      <c r="J157" s="534"/>
      <c r="K157" s="555"/>
      <c r="L157" s="556"/>
      <c r="M157" s="557" t="str">
        <f t="shared" si="42"/>
        <v/>
      </c>
      <c r="N157" s="558"/>
      <c r="O157" s="559"/>
      <c r="P157" s="560"/>
      <c r="Q157" s="559"/>
      <c r="R157" s="18" t="str">
        <f t="shared" si="50"/>
        <v/>
      </c>
      <c r="S157" s="36"/>
      <c r="T157" s="120" t="str">
        <f ca="1">INDEX('NTS ONLY_set_year'!E:E,MATCH(TEXT($X157,"Ddd"),'NTS ONLY_set_year'!C:C,0))</f>
        <v>Dim</v>
      </c>
      <c r="U157" s="186" t="str">
        <f t="shared" ca="1" si="51"/>
        <v>juin</v>
      </c>
      <c r="X157" s="347">
        <f t="shared" ca="1" si="55"/>
        <v>46173</v>
      </c>
      <c r="Y157" s="452" t="str">
        <f t="shared" ca="1" si="52"/>
        <v>Dim. juin , 2026</v>
      </c>
      <c r="Z157" s="143">
        <f t="shared" ca="1" si="43"/>
        <v>30</v>
      </c>
      <c r="AA157" s="348">
        <f t="shared" ca="1" si="44"/>
        <v>6</v>
      </c>
      <c r="AB157" s="168">
        <f t="shared" ca="1" si="53"/>
        <v>0</v>
      </c>
      <c r="AF157" s="349">
        <f t="shared" ca="1" si="45"/>
        <v>99</v>
      </c>
      <c r="AG157" s="350">
        <f ca="1">MIN(AF157:AF$195)</f>
        <v>99</v>
      </c>
      <c r="AH157" s="121" t="b">
        <f t="shared" si="46"/>
        <v>0</v>
      </c>
      <c r="AJ157" s="191">
        <f t="shared" ca="1" si="47"/>
        <v>0</v>
      </c>
      <c r="AK157" s="168">
        <f>IF(D157&lt;&gt;D156,MAX(L$20:L156),AK156)</f>
        <v>0</v>
      </c>
      <c r="AL157" s="121" t="str">
        <f t="shared" si="56"/>
        <v>- -</v>
      </c>
      <c r="AM157" s="121">
        <f>MIN(K158:K$194)</f>
        <v>0</v>
      </c>
      <c r="AN157" s="352" t="str">
        <f t="shared" si="57"/>
        <v>- -</v>
      </c>
      <c r="AP157" s="352">
        <f t="shared" si="54"/>
        <v>999</v>
      </c>
      <c r="AQ157" s="143">
        <f t="shared" ca="1" si="48"/>
        <v>1</v>
      </c>
      <c r="AR157" s="143">
        <f t="shared" ca="1" si="49"/>
        <v>0</v>
      </c>
      <c r="AU157" s="281" t="str">
        <f>IF($C157=$AB$15,'NTS ONLY_set_year'!$E$143," ")&amp;$D157</f>
        <v xml:space="preserve"> </v>
      </c>
      <c r="AV157" s="121">
        <f t="shared" ca="1" si="59"/>
        <v>0</v>
      </c>
      <c r="AW157" s="198">
        <f t="shared" ca="1" si="41"/>
        <v>0</v>
      </c>
      <c r="BM157" s="352">
        <f t="shared" si="58"/>
        <v>1</v>
      </c>
      <c r="BN157" s="281">
        <f t="shared" si="58"/>
        <v>1</v>
      </c>
      <c r="BQ157" s="251"/>
      <c r="BR157" s="7"/>
      <c r="BS157" s="7"/>
      <c r="BT157" s="7"/>
      <c r="IU157" s="16"/>
    </row>
    <row r="158" spans="2:255" ht="13.2">
      <c r="B158" s="9">
        <v>139</v>
      </c>
      <c r="C158" s="17"/>
      <c r="D158" s="72"/>
      <c r="E158" s="76"/>
      <c r="F158" s="76"/>
      <c r="G158" s="76" t="str">
        <f ca="1">IF(ISBLANK(D158),IF(AND(ISNUMBER(D157),D157&lt;$AF$5),'NTS ONLY_set_year'!$E$62,"- -"),IF(D158&gt;$AF$5,$AG$5,IF(D158&gt;D157+1,$AG$6,IF(D158&lt;D157,$AG$7,Y158))))</f>
        <v>- -</v>
      </c>
      <c r="H158" s="532"/>
      <c r="I158" s="621"/>
      <c r="J158" s="534"/>
      <c r="K158" s="555"/>
      <c r="L158" s="556"/>
      <c r="M158" s="557" t="str">
        <f t="shared" si="42"/>
        <v/>
      </c>
      <c r="N158" s="558"/>
      <c r="O158" s="559"/>
      <c r="P158" s="560"/>
      <c r="Q158" s="559"/>
      <c r="R158" s="18" t="str">
        <f t="shared" si="50"/>
        <v/>
      </c>
      <c r="S158" s="36"/>
      <c r="T158" s="120" t="str">
        <f ca="1">INDEX('NTS ONLY_set_year'!E:E,MATCH(TEXT($X158,"Ddd"),'NTS ONLY_set_year'!C:C,0))</f>
        <v>Dim</v>
      </c>
      <c r="U158" s="186" t="str">
        <f t="shared" ca="1" si="51"/>
        <v>juin</v>
      </c>
      <c r="X158" s="347">
        <f t="shared" ca="1" si="55"/>
        <v>46173</v>
      </c>
      <c r="Y158" s="452" t="str">
        <f t="shared" ca="1" si="52"/>
        <v>Dim. juin , 2026</v>
      </c>
      <c r="Z158" s="143">
        <f t="shared" ca="1" si="43"/>
        <v>30</v>
      </c>
      <c r="AA158" s="348">
        <f t="shared" ca="1" si="44"/>
        <v>6</v>
      </c>
      <c r="AB158" s="168">
        <f t="shared" ca="1" si="53"/>
        <v>0</v>
      </c>
      <c r="AF158" s="349">
        <f t="shared" ca="1" si="45"/>
        <v>99</v>
      </c>
      <c r="AG158" s="350">
        <f ca="1">MIN(AF158:AF$195)</f>
        <v>99</v>
      </c>
      <c r="AH158" s="121" t="b">
        <f t="shared" si="46"/>
        <v>0</v>
      </c>
      <c r="AJ158" s="191">
        <f t="shared" ca="1" si="47"/>
        <v>0</v>
      </c>
      <c r="AK158" s="168">
        <f>IF(D158&lt;&gt;D157,MAX(L$20:L157),AK157)</f>
        <v>0</v>
      </c>
      <c r="AL158" s="121" t="str">
        <f t="shared" si="56"/>
        <v>- -</v>
      </c>
      <c r="AM158" s="121">
        <f>MIN(K159:K$194)</f>
        <v>0</v>
      </c>
      <c r="AN158" s="352" t="str">
        <f t="shared" si="57"/>
        <v>- -</v>
      </c>
      <c r="AP158" s="352">
        <f t="shared" si="54"/>
        <v>999</v>
      </c>
      <c r="AQ158" s="143">
        <f t="shared" ca="1" si="48"/>
        <v>1</v>
      </c>
      <c r="AR158" s="143">
        <f t="shared" ca="1" si="49"/>
        <v>0</v>
      </c>
      <c r="AU158" s="281" t="str">
        <f>IF($C158=$AB$15,'NTS ONLY_set_year'!$E$143," ")&amp;$D158</f>
        <v xml:space="preserve"> </v>
      </c>
      <c r="AV158" s="121">
        <f t="shared" ca="1" si="59"/>
        <v>0</v>
      </c>
      <c r="AW158" s="198">
        <f t="shared" ca="1" si="41"/>
        <v>0</v>
      </c>
      <c r="BM158" s="352">
        <f t="shared" si="58"/>
        <v>1</v>
      </c>
      <c r="BN158" s="281">
        <f t="shared" si="58"/>
        <v>1</v>
      </c>
      <c r="BQ158" s="251"/>
      <c r="BR158" s="7"/>
      <c r="BS158" s="7"/>
      <c r="BT158" s="7"/>
      <c r="IU158" s="16"/>
    </row>
    <row r="159" spans="2:255" ht="13.2">
      <c r="B159" s="9">
        <v>140</v>
      </c>
      <c r="C159" s="17"/>
      <c r="D159" s="72"/>
      <c r="E159" s="76"/>
      <c r="F159" s="76"/>
      <c r="G159" s="76" t="str">
        <f ca="1">IF(ISBLANK(D159),IF(AND(ISNUMBER(D158),D158&lt;$AF$5),'NTS ONLY_set_year'!$E$62,"- -"),IF(D159&gt;$AF$5,$AG$5,IF(D159&gt;D158+1,$AG$6,IF(D159&lt;D158,$AG$7,Y159))))</f>
        <v>- -</v>
      </c>
      <c r="H159" s="532"/>
      <c r="I159" s="621"/>
      <c r="J159" s="534"/>
      <c r="K159" s="555"/>
      <c r="L159" s="556"/>
      <c r="M159" s="557" t="str">
        <f t="shared" si="42"/>
        <v/>
      </c>
      <c r="N159" s="558"/>
      <c r="O159" s="559"/>
      <c r="P159" s="560"/>
      <c r="Q159" s="559"/>
      <c r="R159" s="18" t="str">
        <f t="shared" si="50"/>
        <v/>
      </c>
      <c r="S159" s="36"/>
      <c r="T159" s="120" t="str">
        <f ca="1">INDEX('NTS ONLY_set_year'!E:E,MATCH(TEXT($X159,"Ddd"),'NTS ONLY_set_year'!C:C,0))</f>
        <v>Dim</v>
      </c>
      <c r="U159" s="186" t="str">
        <f t="shared" ca="1" si="51"/>
        <v>juin</v>
      </c>
      <c r="X159" s="347">
        <f t="shared" ca="1" si="55"/>
        <v>46173</v>
      </c>
      <c r="Y159" s="452" t="str">
        <f t="shared" ca="1" si="52"/>
        <v>Dim. juin , 2026</v>
      </c>
      <c r="Z159" s="143">
        <f t="shared" ca="1" si="43"/>
        <v>30</v>
      </c>
      <c r="AA159" s="348">
        <f t="shared" ca="1" si="44"/>
        <v>6</v>
      </c>
      <c r="AB159" s="168">
        <f t="shared" ca="1" si="53"/>
        <v>0</v>
      </c>
      <c r="AF159" s="349">
        <f t="shared" ca="1" si="45"/>
        <v>99</v>
      </c>
      <c r="AG159" s="350">
        <f ca="1">MIN(AF159:AF$195)</f>
        <v>99</v>
      </c>
      <c r="AH159" s="121" t="b">
        <f t="shared" si="46"/>
        <v>0</v>
      </c>
      <c r="AJ159" s="191">
        <f t="shared" ca="1" si="47"/>
        <v>0</v>
      </c>
      <c r="AK159" s="168">
        <f>IF(D159&lt;&gt;D158,MAX(L$20:L158),AK158)</f>
        <v>0</v>
      </c>
      <c r="AL159" s="121" t="str">
        <f t="shared" si="56"/>
        <v>- -</v>
      </c>
      <c r="AM159" s="121">
        <f>MIN(K160:K$194)</f>
        <v>0</v>
      </c>
      <c r="AN159" s="352" t="str">
        <f t="shared" si="57"/>
        <v>- -</v>
      </c>
      <c r="AP159" s="352">
        <f t="shared" si="54"/>
        <v>999</v>
      </c>
      <c r="AQ159" s="143">
        <f t="shared" ca="1" si="48"/>
        <v>1</v>
      </c>
      <c r="AR159" s="143">
        <f t="shared" ca="1" si="49"/>
        <v>0</v>
      </c>
      <c r="AU159" s="281" t="str">
        <f>IF($C159=$AB$15,'NTS ONLY_set_year'!$E$143," ")&amp;$D159</f>
        <v xml:space="preserve"> </v>
      </c>
      <c r="AV159" s="121">
        <f t="shared" ca="1" si="59"/>
        <v>0</v>
      </c>
      <c r="AW159" s="198">
        <f t="shared" ca="1" si="41"/>
        <v>0</v>
      </c>
      <c r="BM159" s="352">
        <f t="shared" si="58"/>
        <v>1</v>
      </c>
      <c r="BN159" s="281">
        <f t="shared" si="58"/>
        <v>1</v>
      </c>
      <c r="BQ159" s="251"/>
      <c r="BR159" s="7"/>
      <c r="BS159" s="7"/>
      <c r="BT159" s="7"/>
      <c r="IU159" s="16"/>
    </row>
    <row r="160" spans="2:255" ht="13.2">
      <c r="B160" s="9">
        <v>141</v>
      </c>
      <c r="C160" s="17"/>
      <c r="D160" s="72"/>
      <c r="E160" s="76"/>
      <c r="F160" s="76"/>
      <c r="G160" s="76" t="str">
        <f ca="1">IF(ISBLANK(D160),IF(AND(ISNUMBER(D159),D159&lt;$AF$5),'NTS ONLY_set_year'!$E$62,"- -"),IF(D160&gt;$AF$5,$AG$5,IF(D160&gt;D159+1,$AG$6,IF(D160&lt;D159,$AG$7,Y160))))</f>
        <v>- -</v>
      </c>
      <c r="H160" s="532"/>
      <c r="I160" s="621"/>
      <c r="J160" s="534"/>
      <c r="K160" s="555"/>
      <c r="L160" s="556"/>
      <c r="M160" s="557" t="str">
        <f t="shared" si="42"/>
        <v/>
      </c>
      <c r="N160" s="558"/>
      <c r="O160" s="559"/>
      <c r="P160" s="560"/>
      <c r="Q160" s="559"/>
      <c r="R160" s="18" t="str">
        <f t="shared" si="50"/>
        <v/>
      </c>
      <c r="S160" s="36"/>
      <c r="T160" s="120" t="str">
        <f ca="1">INDEX('NTS ONLY_set_year'!E:E,MATCH(TEXT($X160,"Ddd"),'NTS ONLY_set_year'!C:C,0))</f>
        <v>Dim</v>
      </c>
      <c r="U160" s="186" t="str">
        <f t="shared" ca="1" si="51"/>
        <v>juin</v>
      </c>
      <c r="X160" s="347">
        <f t="shared" ca="1" si="55"/>
        <v>46173</v>
      </c>
      <c r="Y160" s="452" t="str">
        <f t="shared" ca="1" si="52"/>
        <v>Dim. juin , 2026</v>
      </c>
      <c r="Z160" s="143">
        <f t="shared" ca="1" si="43"/>
        <v>30</v>
      </c>
      <c r="AA160" s="348">
        <f t="shared" ca="1" si="44"/>
        <v>6</v>
      </c>
      <c r="AB160" s="168">
        <f t="shared" ca="1" si="53"/>
        <v>0</v>
      </c>
      <c r="AF160" s="349">
        <f t="shared" ca="1" si="45"/>
        <v>99</v>
      </c>
      <c r="AG160" s="350">
        <f ca="1">MIN(AF160:AF$195)</f>
        <v>99</v>
      </c>
      <c r="AH160" s="121" t="b">
        <f t="shared" si="46"/>
        <v>0</v>
      </c>
      <c r="AJ160" s="191">
        <f t="shared" ca="1" si="47"/>
        <v>0</v>
      </c>
      <c r="AK160" s="168">
        <f>IF(D160&lt;&gt;D159,MAX(L$20:L159),AK159)</f>
        <v>0</v>
      </c>
      <c r="AL160" s="121" t="str">
        <f t="shared" si="56"/>
        <v>- -</v>
      </c>
      <c r="AM160" s="121">
        <f>MIN(K161:K$194)</f>
        <v>0</v>
      </c>
      <c r="AN160" s="352" t="str">
        <f t="shared" si="57"/>
        <v>- -</v>
      </c>
      <c r="AP160" s="352">
        <f t="shared" si="54"/>
        <v>999</v>
      </c>
      <c r="AQ160" s="143">
        <f t="shared" ca="1" si="48"/>
        <v>1</v>
      </c>
      <c r="AR160" s="143">
        <f t="shared" ca="1" si="49"/>
        <v>0</v>
      </c>
      <c r="AU160" s="281" t="str">
        <f>IF($C160=$AB$15,'NTS ONLY_set_year'!$E$143," ")&amp;$D160</f>
        <v xml:space="preserve"> </v>
      </c>
      <c r="AV160" s="121">
        <f t="shared" ca="1" si="59"/>
        <v>0</v>
      </c>
      <c r="AW160" s="198">
        <f t="shared" ca="1" si="41"/>
        <v>0</v>
      </c>
      <c r="BM160" s="352">
        <f t="shared" si="58"/>
        <v>1</v>
      </c>
      <c r="BN160" s="281">
        <f t="shared" si="58"/>
        <v>1</v>
      </c>
      <c r="BQ160" s="251"/>
      <c r="BR160" s="7"/>
      <c r="BS160" s="7"/>
      <c r="BT160" s="7"/>
      <c r="IU160" s="16"/>
    </row>
    <row r="161" spans="2:255" ht="13.2">
      <c r="B161" s="9">
        <v>142</v>
      </c>
      <c r="C161" s="17"/>
      <c r="D161" s="72"/>
      <c r="E161" s="76"/>
      <c r="F161" s="76"/>
      <c r="G161" s="76" t="str">
        <f ca="1">IF(ISBLANK(D161),IF(AND(ISNUMBER(D160),D160&lt;$AF$5),'NTS ONLY_set_year'!$E$62,"- -"),IF(D161&gt;$AF$5,$AG$5,IF(D161&gt;D160+1,$AG$6,IF(D161&lt;D160,$AG$7,Y161))))</f>
        <v>- -</v>
      </c>
      <c r="H161" s="532"/>
      <c r="I161" s="621"/>
      <c r="J161" s="534"/>
      <c r="K161" s="555"/>
      <c r="L161" s="556"/>
      <c r="M161" s="557" t="str">
        <f t="shared" si="42"/>
        <v/>
      </c>
      <c r="N161" s="558"/>
      <c r="O161" s="559"/>
      <c r="P161" s="560"/>
      <c r="Q161" s="559"/>
      <c r="R161" s="18" t="str">
        <f t="shared" si="50"/>
        <v/>
      </c>
      <c r="S161" s="36"/>
      <c r="T161" s="120" t="str">
        <f ca="1">INDEX('NTS ONLY_set_year'!E:E,MATCH(TEXT($X161,"Ddd"),'NTS ONLY_set_year'!C:C,0))</f>
        <v>Dim</v>
      </c>
      <c r="U161" s="186" t="str">
        <f t="shared" ca="1" si="51"/>
        <v>juin</v>
      </c>
      <c r="X161" s="347">
        <f t="shared" ca="1" si="55"/>
        <v>46173</v>
      </c>
      <c r="Y161" s="452" t="str">
        <f t="shared" ca="1" si="52"/>
        <v>Dim. juin , 2026</v>
      </c>
      <c r="Z161" s="143">
        <f t="shared" ca="1" si="43"/>
        <v>30</v>
      </c>
      <c r="AA161" s="348">
        <f t="shared" ca="1" si="44"/>
        <v>6</v>
      </c>
      <c r="AB161" s="168">
        <f t="shared" ca="1" si="53"/>
        <v>0</v>
      </c>
      <c r="AF161" s="349">
        <f t="shared" ca="1" si="45"/>
        <v>99</v>
      </c>
      <c r="AG161" s="350">
        <f ca="1">MIN(AF161:AF$195)</f>
        <v>99</v>
      </c>
      <c r="AH161" s="121" t="b">
        <f t="shared" si="46"/>
        <v>0</v>
      </c>
      <c r="AJ161" s="191">
        <f t="shared" ca="1" si="47"/>
        <v>0</v>
      </c>
      <c r="AK161" s="168">
        <f>IF(D161&lt;&gt;D160,MAX(L$20:L160),AK160)</f>
        <v>0</v>
      </c>
      <c r="AL161" s="121" t="str">
        <f t="shared" si="56"/>
        <v>- -</v>
      </c>
      <c r="AM161" s="121">
        <f>MIN(K162:K$194)</f>
        <v>0</v>
      </c>
      <c r="AN161" s="352" t="str">
        <f t="shared" si="57"/>
        <v>- -</v>
      </c>
      <c r="AP161" s="352">
        <f t="shared" si="54"/>
        <v>999</v>
      </c>
      <c r="AQ161" s="143">
        <f t="shared" ca="1" si="48"/>
        <v>1</v>
      </c>
      <c r="AR161" s="143">
        <f t="shared" ca="1" si="49"/>
        <v>0</v>
      </c>
      <c r="AU161" s="281" t="str">
        <f>IF($C161=$AB$15,'NTS ONLY_set_year'!$E$143," ")&amp;$D161</f>
        <v xml:space="preserve"> </v>
      </c>
      <c r="AV161" s="121">
        <f t="shared" ca="1" si="59"/>
        <v>0</v>
      </c>
      <c r="AW161" s="198">
        <f t="shared" ca="1" si="41"/>
        <v>0</v>
      </c>
      <c r="BM161" s="352">
        <f t="shared" si="58"/>
        <v>1</v>
      </c>
      <c r="BN161" s="281">
        <f t="shared" si="58"/>
        <v>1</v>
      </c>
      <c r="BQ161" s="251"/>
      <c r="BR161" s="7"/>
      <c r="BS161" s="7"/>
      <c r="BT161" s="7"/>
      <c r="IU161" s="16"/>
    </row>
    <row r="162" spans="2:255" ht="13.2">
      <c r="B162" s="9">
        <v>143</v>
      </c>
      <c r="C162" s="17"/>
      <c r="D162" s="72"/>
      <c r="E162" s="76"/>
      <c r="F162" s="76"/>
      <c r="G162" s="76" t="str">
        <f ca="1">IF(ISBLANK(D162),IF(AND(ISNUMBER(D161),D161&lt;$AF$5),'NTS ONLY_set_year'!$E$62,"- -"),IF(D162&gt;$AF$5,$AG$5,IF(D162&gt;D161+1,$AG$6,IF(D162&lt;D161,$AG$7,Y162))))</f>
        <v>- -</v>
      </c>
      <c r="H162" s="532"/>
      <c r="I162" s="621"/>
      <c r="J162" s="534"/>
      <c r="K162" s="555"/>
      <c r="L162" s="556"/>
      <c r="M162" s="557" t="str">
        <f t="shared" si="42"/>
        <v/>
      </c>
      <c r="N162" s="558"/>
      <c r="O162" s="559"/>
      <c r="P162" s="560"/>
      <c r="Q162" s="559"/>
      <c r="R162" s="18" t="str">
        <f t="shared" si="50"/>
        <v/>
      </c>
      <c r="S162" s="36"/>
      <c r="T162" s="120" t="str">
        <f ca="1">INDEX('NTS ONLY_set_year'!E:E,MATCH(TEXT($X162,"Ddd"),'NTS ONLY_set_year'!C:C,0))</f>
        <v>Dim</v>
      </c>
      <c r="U162" s="186" t="str">
        <f t="shared" ca="1" si="51"/>
        <v>juin</v>
      </c>
      <c r="X162" s="347">
        <f t="shared" ca="1" si="55"/>
        <v>46173</v>
      </c>
      <c r="Y162" s="452" t="str">
        <f t="shared" ca="1" si="52"/>
        <v>Dim. juin , 2026</v>
      </c>
      <c r="Z162" s="143">
        <f t="shared" ca="1" si="43"/>
        <v>30</v>
      </c>
      <c r="AA162" s="348">
        <f t="shared" ca="1" si="44"/>
        <v>6</v>
      </c>
      <c r="AB162" s="168">
        <f t="shared" ca="1" si="53"/>
        <v>0</v>
      </c>
      <c r="AF162" s="349">
        <f t="shared" ca="1" si="45"/>
        <v>99</v>
      </c>
      <c r="AG162" s="350">
        <f ca="1">MIN(AF162:AF$195)</f>
        <v>99</v>
      </c>
      <c r="AH162" s="121" t="b">
        <f t="shared" si="46"/>
        <v>0</v>
      </c>
      <c r="AJ162" s="191">
        <f t="shared" ca="1" si="47"/>
        <v>0</v>
      </c>
      <c r="AK162" s="168">
        <f>IF(D162&lt;&gt;D161,MAX(L$20:L161),AK161)</f>
        <v>0</v>
      </c>
      <c r="AL162" s="121" t="str">
        <f t="shared" si="56"/>
        <v>- -</v>
      </c>
      <c r="AM162" s="121">
        <f>MIN(K163:K$194)</f>
        <v>0</v>
      </c>
      <c r="AN162" s="352" t="str">
        <f t="shared" si="57"/>
        <v>- -</v>
      </c>
      <c r="AP162" s="352">
        <f t="shared" si="54"/>
        <v>999</v>
      </c>
      <c r="AQ162" s="143">
        <f t="shared" ca="1" si="48"/>
        <v>1</v>
      </c>
      <c r="AR162" s="143">
        <f t="shared" ca="1" si="49"/>
        <v>0</v>
      </c>
      <c r="AU162" s="281" t="str">
        <f>IF($C162=$AB$15,'NTS ONLY_set_year'!$E$143," ")&amp;$D162</f>
        <v xml:space="preserve"> </v>
      </c>
      <c r="AV162" s="121">
        <f t="shared" ca="1" si="59"/>
        <v>0</v>
      </c>
      <c r="AW162" s="198">
        <f t="shared" ca="1" si="41"/>
        <v>0</v>
      </c>
      <c r="BM162" s="352">
        <f t="shared" si="58"/>
        <v>1</v>
      </c>
      <c r="BN162" s="281">
        <f t="shared" si="58"/>
        <v>1</v>
      </c>
      <c r="BQ162" s="251"/>
      <c r="BR162" s="7"/>
      <c r="BS162" s="7"/>
      <c r="BT162" s="7"/>
      <c r="IU162" s="16"/>
    </row>
    <row r="163" spans="2:255" ht="13.2">
      <c r="B163" s="9">
        <v>144</v>
      </c>
      <c r="C163" s="17"/>
      <c r="D163" s="72"/>
      <c r="E163" s="76"/>
      <c r="F163" s="76"/>
      <c r="G163" s="76" t="str">
        <f ca="1">IF(ISBLANK(D163),IF(AND(ISNUMBER(D162),D162&lt;$AF$5),'NTS ONLY_set_year'!$E$62,"- -"),IF(D163&gt;$AF$5,$AG$5,IF(D163&gt;D162+1,$AG$6,IF(D163&lt;D162,$AG$7,Y163))))</f>
        <v>- -</v>
      </c>
      <c r="H163" s="532"/>
      <c r="I163" s="621"/>
      <c r="J163" s="534"/>
      <c r="K163" s="555"/>
      <c r="L163" s="556"/>
      <c r="M163" s="557" t="str">
        <f t="shared" si="42"/>
        <v/>
      </c>
      <c r="N163" s="558"/>
      <c r="O163" s="559"/>
      <c r="P163" s="560"/>
      <c r="Q163" s="559"/>
      <c r="R163" s="18" t="str">
        <f t="shared" si="50"/>
        <v/>
      </c>
      <c r="S163" s="36"/>
      <c r="T163" s="120" t="str">
        <f ca="1">INDEX('NTS ONLY_set_year'!E:E,MATCH(TEXT($X163,"Ddd"),'NTS ONLY_set_year'!C:C,0))</f>
        <v>Dim</v>
      </c>
      <c r="U163" s="186" t="str">
        <f t="shared" ca="1" si="51"/>
        <v>juin</v>
      </c>
      <c r="X163" s="347">
        <f t="shared" ca="1" si="55"/>
        <v>46173</v>
      </c>
      <c r="Y163" s="452" t="str">
        <f t="shared" ca="1" si="52"/>
        <v>Dim. juin , 2026</v>
      </c>
      <c r="Z163" s="143">
        <f t="shared" ca="1" si="43"/>
        <v>30</v>
      </c>
      <c r="AA163" s="348">
        <f t="shared" ca="1" si="44"/>
        <v>6</v>
      </c>
      <c r="AB163" s="168">
        <f t="shared" ca="1" si="53"/>
        <v>0</v>
      </c>
      <c r="AF163" s="349">
        <f t="shared" ca="1" si="45"/>
        <v>99</v>
      </c>
      <c r="AG163" s="350">
        <f ca="1">MIN(AF163:AF$195)</f>
        <v>99</v>
      </c>
      <c r="AH163" s="121" t="b">
        <f t="shared" si="46"/>
        <v>0</v>
      </c>
      <c r="AJ163" s="191">
        <f t="shared" ca="1" si="47"/>
        <v>0</v>
      </c>
      <c r="AK163" s="168">
        <f>IF(D163&lt;&gt;D162,MAX(L$20:L162),AK162)</f>
        <v>0</v>
      </c>
      <c r="AL163" s="121" t="str">
        <f t="shared" si="56"/>
        <v>- -</v>
      </c>
      <c r="AM163" s="121">
        <f>MIN(K164:K$194)</f>
        <v>0</v>
      </c>
      <c r="AN163" s="352" t="str">
        <f t="shared" si="57"/>
        <v>- -</v>
      </c>
      <c r="AP163" s="352">
        <f t="shared" si="54"/>
        <v>999</v>
      </c>
      <c r="AQ163" s="143">
        <f t="shared" ca="1" si="48"/>
        <v>1</v>
      </c>
      <c r="AR163" s="143">
        <f t="shared" ca="1" si="49"/>
        <v>0</v>
      </c>
      <c r="AU163" s="281" t="str">
        <f>IF($C163=$AB$15,'NTS ONLY_set_year'!$E$143," ")&amp;$D163</f>
        <v xml:space="preserve"> </v>
      </c>
      <c r="AV163" s="121">
        <f t="shared" ca="1" si="59"/>
        <v>0</v>
      </c>
      <c r="AW163" s="198">
        <f t="shared" ca="1" si="41"/>
        <v>0</v>
      </c>
      <c r="BM163" s="352">
        <f t="shared" si="58"/>
        <v>1</v>
      </c>
      <c r="BN163" s="281">
        <f t="shared" si="58"/>
        <v>1</v>
      </c>
      <c r="BQ163" s="251"/>
      <c r="BR163" s="7"/>
      <c r="BS163" s="7"/>
      <c r="BT163" s="7"/>
      <c r="IU163" s="16"/>
    </row>
    <row r="164" spans="2:255" ht="13.2">
      <c r="B164" s="9">
        <v>145</v>
      </c>
      <c r="C164" s="17"/>
      <c r="D164" s="72"/>
      <c r="E164" s="76"/>
      <c r="F164" s="76"/>
      <c r="G164" s="76" t="str">
        <f ca="1">IF(ISBLANK(D164),IF(AND(ISNUMBER(D163),D163&lt;$AF$5),'NTS ONLY_set_year'!$E$62,"- -"),IF(D164&gt;$AF$5,$AG$5,IF(D164&gt;D163+1,$AG$6,IF(D164&lt;D163,$AG$7,Y164))))</f>
        <v>- -</v>
      </c>
      <c r="H164" s="532"/>
      <c r="I164" s="621"/>
      <c r="J164" s="534"/>
      <c r="K164" s="555"/>
      <c r="L164" s="556"/>
      <c r="M164" s="557" t="str">
        <f t="shared" si="42"/>
        <v/>
      </c>
      <c r="N164" s="558"/>
      <c r="O164" s="559"/>
      <c r="P164" s="560"/>
      <c r="Q164" s="559"/>
      <c r="R164" s="18" t="str">
        <f t="shared" si="50"/>
        <v/>
      </c>
      <c r="S164" s="36"/>
      <c r="T164" s="120" t="str">
        <f ca="1">INDEX('NTS ONLY_set_year'!E:E,MATCH(TEXT($X164,"Ddd"),'NTS ONLY_set_year'!C:C,0))</f>
        <v>Dim</v>
      </c>
      <c r="U164" s="186" t="str">
        <f t="shared" ca="1" si="51"/>
        <v>juin</v>
      </c>
      <c r="X164" s="347">
        <f t="shared" ca="1" si="55"/>
        <v>46173</v>
      </c>
      <c r="Y164" s="452" t="str">
        <f t="shared" ca="1" si="52"/>
        <v>Dim. juin , 2026</v>
      </c>
      <c r="Z164" s="143">
        <f t="shared" ca="1" si="43"/>
        <v>30</v>
      </c>
      <c r="AA164" s="348">
        <f t="shared" ca="1" si="44"/>
        <v>6</v>
      </c>
      <c r="AB164" s="168">
        <f t="shared" ca="1" si="53"/>
        <v>0</v>
      </c>
      <c r="AF164" s="349">
        <f t="shared" ca="1" si="45"/>
        <v>99</v>
      </c>
      <c r="AG164" s="350">
        <f ca="1">MIN(AF164:AF$195)</f>
        <v>99</v>
      </c>
      <c r="AH164" s="121" t="b">
        <f t="shared" si="46"/>
        <v>0</v>
      </c>
      <c r="AJ164" s="191">
        <f t="shared" ca="1" si="47"/>
        <v>0</v>
      </c>
      <c r="AK164" s="168">
        <f>IF(D164&lt;&gt;D163,MAX(L$20:L163),AK163)</f>
        <v>0</v>
      </c>
      <c r="AL164" s="121" t="str">
        <f t="shared" si="56"/>
        <v>- -</v>
      </c>
      <c r="AM164" s="121">
        <f>MIN(K165:K$194)</f>
        <v>0</v>
      </c>
      <c r="AN164" s="352" t="str">
        <f t="shared" si="57"/>
        <v>- -</v>
      </c>
      <c r="AP164" s="352">
        <f t="shared" si="54"/>
        <v>999</v>
      </c>
      <c r="AQ164" s="143">
        <f t="shared" ca="1" si="48"/>
        <v>1</v>
      </c>
      <c r="AR164" s="143">
        <f t="shared" ca="1" si="49"/>
        <v>0</v>
      </c>
      <c r="AU164" s="281" t="str">
        <f>IF($C164=$AB$15,'NTS ONLY_set_year'!$E$143," ")&amp;$D164</f>
        <v xml:space="preserve"> </v>
      </c>
      <c r="AV164" s="121">
        <f t="shared" ca="1" si="59"/>
        <v>0</v>
      </c>
      <c r="AW164" s="198">
        <f t="shared" ca="1" si="41"/>
        <v>0</v>
      </c>
      <c r="BM164" s="352">
        <f t="shared" si="58"/>
        <v>1</v>
      </c>
      <c r="BN164" s="281">
        <f t="shared" si="58"/>
        <v>1</v>
      </c>
      <c r="BQ164" s="251"/>
      <c r="BR164" s="7"/>
      <c r="BS164" s="7"/>
      <c r="BT164" s="7"/>
      <c r="IU164" s="16"/>
    </row>
    <row r="165" spans="2:255" ht="13.2">
      <c r="B165" s="9">
        <v>146</v>
      </c>
      <c r="C165" s="17"/>
      <c r="D165" s="72"/>
      <c r="E165" s="76"/>
      <c r="F165" s="76"/>
      <c r="G165" s="76" t="str">
        <f ca="1">IF(ISBLANK(D165),IF(AND(ISNUMBER(D164),D164&lt;$AF$5),'NTS ONLY_set_year'!$E$62,"- -"),IF(D165&gt;$AF$5,$AG$5,IF(D165&gt;D164+1,$AG$6,IF(D165&lt;D164,$AG$7,Y165))))</f>
        <v>- -</v>
      </c>
      <c r="H165" s="532"/>
      <c r="I165" s="621"/>
      <c r="J165" s="534"/>
      <c r="K165" s="555"/>
      <c r="L165" s="556"/>
      <c r="M165" s="557" t="str">
        <f t="shared" si="42"/>
        <v/>
      </c>
      <c r="N165" s="558"/>
      <c r="O165" s="559"/>
      <c r="P165" s="560"/>
      <c r="Q165" s="559"/>
      <c r="R165" s="18" t="str">
        <f t="shared" si="50"/>
        <v/>
      </c>
      <c r="S165" s="36"/>
      <c r="T165" s="120" t="str">
        <f ca="1">INDEX('NTS ONLY_set_year'!E:E,MATCH(TEXT($X165,"Ddd"),'NTS ONLY_set_year'!C:C,0))</f>
        <v>Dim</v>
      </c>
      <c r="U165" s="186" t="str">
        <f t="shared" ca="1" si="51"/>
        <v>juin</v>
      </c>
      <c r="X165" s="347">
        <f t="shared" ca="1" si="55"/>
        <v>46173</v>
      </c>
      <c r="Y165" s="452" t="str">
        <f t="shared" ca="1" si="52"/>
        <v>Dim. juin , 2026</v>
      </c>
      <c r="Z165" s="143">
        <f t="shared" ca="1" si="43"/>
        <v>30</v>
      </c>
      <c r="AA165" s="348">
        <f t="shared" ca="1" si="44"/>
        <v>6</v>
      </c>
      <c r="AB165" s="168">
        <f t="shared" ca="1" si="53"/>
        <v>0</v>
      </c>
      <c r="AF165" s="349">
        <f t="shared" ca="1" si="45"/>
        <v>99</v>
      </c>
      <c r="AG165" s="350">
        <f ca="1">MIN(AF165:AF$195)</f>
        <v>99</v>
      </c>
      <c r="AH165" s="121" t="b">
        <f t="shared" si="46"/>
        <v>0</v>
      </c>
      <c r="AJ165" s="191">
        <f t="shared" ca="1" si="47"/>
        <v>0</v>
      </c>
      <c r="AK165" s="168">
        <f>IF(D165&lt;&gt;D164,MAX(L$20:L164),AK164)</f>
        <v>0</v>
      </c>
      <c r="AL165" s="121" t="str">
        <f t="shared" si="56"/>
        <v>- -</v>
      </c>
      <c r="AM165" s="121">
        <f>MIN(K166:K$194)</f>
        <v>0</v>
      </c>
      <c r="AN165" s="352" t="str">
        <f t="shared" si="57"/>
        <v>- -</v>
      </c>
      <c r="AP165" s="352">
        <f t="shared" si="54"/>
        <v>999</v>
      </c>
      <c r="AQ165" s="143">
        <f t="shared" ca="1" si="48"/>
        <v>1</v>
      </c>
      <c r="AR165" s="143">
        <f t="shared" ca="1" si="49"/>
        <v>0</v>
      </c>
      <c r="AU165" s="281" t="str">
        <f>IF($C165=$AB$15,'NTS ONLY_set_year'!$E$143," ")&amp;$D165</f>
        <v xml:space="preserve"> </v>
      </c>
      <c r="AV165" s="121">
        <f t="shared" ca="1" si="59"/>
        <v>0</v>
      </c>
      <c r="AW165" s="198">
        <f t="shared" ca="1" si="41"/>
        <v>0</v>
      </c>
      <c r="BM165" s="352">
        <f t="shared" si="58"/>
        <v>1</v>
      </c>
      <c r="BN165" s="281">
        <f t="shared" si="58"/>
        <v>1</v>
      </c>
      <c r="BQ165" s="251"/>
      <c r="BR165" s="7"/>
      <c r="BS165" s="7"/>
      <c r="BT165" s="7"/>
      <c r="IU165" s="16"/>
    </row>
    <row r="166" spans="2:255" ht="13.2">
      <c r="B166" s="9">
        <v>147</v>
      </c>
      <c r="C166" s="17"/>
      <c r="D166" s="72"/>
      <c r="E166" s="76"/>
      <c r="F166" s="76"/>
      <c r="G166" s="76" t="str">
        <f ca="1">IF(ISBLANK(D166),IF(AND(ISNUMBER(D165),D165&lt;$AF$5),'NTS ONLY_set_year'!$E$62,"- -"),IF(D166&gt;$AF$5,$AG$5,IF(D166&gt;D165+1,$AG$6,IF(D166&lt;D165,$AG$7,Y166))))</f>
        <v>- -</v>
      </c>
      <c r="H166" s="532"/>
      <c r="I166" s="621"/>
      <c r="J166" s="534"/>
      <c r="K166" s="555"/>
      <c r="L166" s="556"/>
      <c r="M166" s="557" t="str">
        <f t="shared" si="42"/>
        <v/>
      </c>
      <c r="N166" s="558"/>
      <c r="O166" s="559"/>
      <c r="P166" s="560"/>
      <c r="Q166" s="559"/>
      <c r="R166" s="18" t="str">
        <f t="shared" si="50"/>
        <v/>
      </c>
      <c r="S166" s="36"/>
      <c r="T166" s="120" t="str">
        <f ca="1">INDEX('NTS ONLY_set_year'!E:E,MATCH(TEXT($X166,"Ddd"),'NTS ONLY_set_year'!C:C,0))</f>
        <v>Dim</v>
      </c>
      <c r="U166" s="186" t="str">
        <f t="shared" ca="1" si="51"/>
        <v>juin</v>
      </c>
      <c r="X166" s="347">
        <f t="shared" ca="1" si="55"/>
        <v>46173</v>
      </c>
      <c r="Y166" s="452" t="str">
        <f t="shared" ca="1" si="52"/>
        <v>Dim. juin , 2026</v>
      </c>
      <c r="Z166" s="143">
        <f t="shared" ca="1" si="43"/>
        <v>30</v>
      </c>
      <c r="AA166" s="348">
        <f t="shared" ca="1" si="44"/>
        <v>6</v>
      </c>
      <c r="AB166" s="168">
        <f t="shared" ca="1" si="53"/>
        <v>0</v>
      </c>
      <c r="AF166" s="349">
        <f t="shared" ca="1" si="45"/>
        <v>99</v>
      </c>
      <c r="AG166" s="350">
        <f ca="1">MIN(AF166:AF$195)</f>
        <v>99</v>
      </c>
      <c r="AH166" s="121" t="b">
        <f t="shared" si="46"/>
        <v>0</v>
      </c>
      <c r="AJ166" s="191">
        <f t="shared" ca="1" si="47"/>
        <v>0</v>
      </c>
      <c r="AK166" s="168">
        <f>IF(D166&lt;&gt;D165,MAX(L$20:L165),AK165)</f>
        <v>0</v>
      </c>
      <c r="AL166" s="121" t="str">
        <f t="shared" si="56"/>
        <v>- -</v>
      </c>
      <c r="AM166" s="121">
        <f>MIN(K167:K$194)</f>
        <v>0</v>
      </c>
      <c r="AN166" s="352" t="str">
        <f t="shared" si="57"/>
        <v>- -</v>
      </c>
      <c r="AP166" s="352">
        <f t="shared" si="54"/>
        <v>999</v>
      </c>
      <c r="AQ166" s="143">
        <f t="shared" ca="1" si="48"/>
        <v>1</v>
      </c>
      <c r="AR166" s="143">
        <f t="shared" ca="1" si="49"/>
        <v>0</v>
      </c>
      <c r="AU166" s="281" t="str">
        <f>IF($C166=$AB$15,'NTS ONLY_set_year'!$E$143," ")&amp;$D166</f>
        <v xml:space="preserve"> </v>
      </c>
      <c r="AV166" s="121">
        <f t="shared" ca="1" si="59"/>
        <v>0</v>
      </c>
      <c r="AW166" s="198">
        <f t="shared" ca="1" si="41"/>
        <v>0</v>
      </c>
      <c r="BM166" s="352">
        <f t="shared" si="58"/>
        <v>1</v>
      </c>
      <c r="BN166" s="281">
        <f t="shared" si="58"/>
        <v>1</v>
      </c>
      <c r="BQ166" s="251"/>
      <c r="BR166" s="7"/>
      <c r="BS166" s="7"/>
      <c r="BT166" s="7"/>
      <c r="IU166" s="16"/>
    </row>
    <row r="167" spans="2:255" ht="13.2">
      <c r="B167" s="9">
        <v>148</v>
      </c>
      <c r="C167" s="17"/>
      <c r="D167" s="72"/>
      <c r="E167" s="76"/>
      <c r="F167" s="76"/>
      <c r="G167" s="76" t="str">
        <f ca="1">IF(ISBLANK(D167),IF(AND(ISNUMBER(D166),D166&lt;$AF$5),'NTS ONLY_set_year'!$E$62,"- -"),IF(D167&gt;$AF$5,$AG$5,IF(D167&gt;D166+1,$AG$6,IF(D167&lt;D166,$AG$7,Y167))))</f>
        <v>- -</v>
      </c>
      <c r="H167" s="532"/>
      <c r="I167" s="621"/>
      <c r="J167" s="534"/>
      <c r="K167" s="555"/>
      <c r="L167" s="556"/>
      <c r="M167" s="557" t="str">
        <f t="shared" si="42"/>
        <v/>
      </c>
      <c r="N167" s="558"/>
      <c r="O167" s="559"/>
      <c r="P167" s="560"/>
      <c r="Q167" s="559"/>
      <c r="R167" s="18" t="str">
        <f t="shared" si="50"/>
        <v/>
      </c>
      <c r="S167" s="36"/>
      <c r="T167" s="120" t="str">
        <f ca="1">INDEX('NTS ONLY_set_year'!E:E,MATCH(TEXT($X167,"Ddd"),'NTS ONLY_set_year'!C:C,0))</f>
        <v>Dim</v>
      </c>
      <c r="U167" s="186" t="str">
        <f t="shared" ca="1" si="51"/>
        <v>juin</v>
      </c>
      <c r="X167" s="347">
        <f t="shared" ca="1" si="55"/>
        <v>46173</v>
      </c>
      <c r="Y167" s="452" t="str">
        <f t="shared" ca="1" si="52"/>
        <v>Dim. juin , 2026</v>
      </c>
      <c r="Z167" s="143">
        <f t="shared" ca="1" si="43"/>
        <v>30</v>
      </c>
      <c r="AA167" s="348">
        <f t="shared" ca="1" si="44"/>
        <v>6</v>
      </c>
      <c r="AB167" s="168">
        <f t="shared" ca="1" si="53"/>
        <v>0</v>
      </c>
      <c r="AF167" s="349">
        <f t="shared" ca="1" si="45"/>
        <v>99</v>
      </c>
      <c r="AG167" s="350">
        <f ca="1">MIN(AF167:AF$195)</f>
        <v>99</v>
      </c>
      <c r="AH167" s="121" t="b">
        <f t="shared" si="46"/>
        <v>0</v>
      </c>
      <c r="AJ167" s="191">
        <f t="shared" ca="1" si="47"/>
        <v>0</v>
      </c>
      <c r="AK167" s="168">
        <f>IF(D167&lt;&gt;D166,MAX(L$20:L166),AK166)</f>
        <v>0</v>
      </c>
      <c r="AL167" s="121" t="str">
        <f t="shared" si="56"/>
        <v>- -</v>
      </c>
      <c r="AM167" s="121">
        <f>MIN(K168:K$194)</f>
        <v>0</v>
      </c>
      <c r="AN167" s="352" t="str">
        <f t="shared" si="57"/>
        <v>- -</v>
      </c>
      <c r="AP167" s="352">
        <f t="shared" si="54"/>
        <v>999</v>
      </c>
      <c r="AQ167" s="143">
        <f t="shared" ca="1" si="48"/>
        <v>1</v>
      </c>
      <c r="AR167" s="143">
        <f t="shared" ca="1" si="49"/>
        <v>0</v>
      </c>
      <c r="AU167" s="281" t="str">
        <f>IF($C167=$AB$15,'NTS ONLY_set_year'!$E$143," ")&amp;$D167</f>
        <v xml:space="preserve"> </v>
      </c>
      <c r="AV167" s="121">
        <f t="shared" ca="1" si="59"/>
        <v>0</v>
      </c>
      <c r="AW167" s="198">
        <f t="shared" ref="AW167:AW194" ca="1" si="60">IF(OR(D167&gt;$AF$5,D167&lt;1),0,1-AV167)</f>
        <v>0</v>
      </c>
      <c r="BM167" s="352">
        <f t="shared" si="58"/>
        <v>1</v>
      </c>
      <c r="BN167" s="281">
        <f t="shared" si="58"/>
        <v>1</v>
      </c>
      <c r="BQ167" s="251"/>
      <c r="BR167" s="7"/>
      <c r="BS167" s="7"/>
      <c r="BT167" s="7"/>
      <c r="IU167" s="16"/>
    </row>
    <row r="168" spans="2:255" ht="13.2">
      <c r="B168" s="9">
        <v>149</v>
      </c>
      <c r="C168" s="17"/>
      <c r="D168" s="72"/>
      <c r="E168" s="76"/>
      <c r="F168" s="76"/>
      <c r="G168" s="76" t="str">
        <f ca="1">IF(ISBLANK(D168),IF(AND(ISNUMBER(D167),D167&lt;$AF$5),'NTS ONLY_set_year'!$E$62,"- -"),IF(D168&gt;$AF$5,$AG$5,IF(D168&gt;D167+1,$AG$6,IF(D168&lt;D167,$AG$7,Y168))))</f>
        <v>- -</v>
      </c>
      <c r="H168" s="532"/>
      <c r="I168" s="621"/>
      <c r="J168" s="534"/>
      <c r="K168" s="555"/>
      <c r="L168" s="556"/>
      <c r="M168" s="557" t="str">
        <f t="shared" si="42"/>
        <v/>
      </c>
      <c r="N168" s="558"/>
      <c r="O168" s="559"/>
      <c r="P168" s="560"/>
      <c r="Q168" s="559"/>
      <c r="R168" s="18" t="str">
        <f t="shared" si="50"/>
        <v/>
      </c>
      <c r="S168" s="36"/>
      <c r="T168" s="120" t="str">
        <f ca="1">INDEX('NTS ONLY_set_year'!E:E,MATCH(TEXT($X168,"Ddd"),'NTS ONLY_set_year'!C:C,0))</f>
        <v>Dim</v>
      </c>
      <c r="U168" s="186" t="str">
        <f t="shared" ca="1" si="51"/>
        <v>juin</v>
      </c>
      <c r="X168" s="347">
        <f t="shared" ca="1" si="55"/>
        <v>46173</v>
      </c>
      <c r="Y168" s="452" t="str">
        <f t="shared" ca="1" si="52"/>
        <v>Dim. juin , 2026</v>
      </c>
      <c r="Z168" s="143">
        <f t="shared" ca="1" si="43"/>
        <v>30</v>
      </c>
      <c r="AA168" s="348">
        <f t="shared" ca="1" si="44"/>
        <v>6</v>
      </c>
      <c r="AB168" s="168">
        <f t="shared" ca="1" si="53"/>
        <v>0</v>
      </c>
      <c r="AF168" s="349">
        <f t="shared" ca="1" si="45"/>
        <v>99</v>
      </c>
      <c r="AG168" s="350">
        <f ca="1">MIN(AF168:AF$195)</f>
        <v>99</v>
      </c>
      <c r="AH168" s="121" t="b">
        <f t="shared" si="46"/>
        <v>0</v>
      </c>
      <c r="AJ168" s="191">
        <f t="shared" ca="1" si="47"/>
        <v>0</v>
      </c>
      <c r="AK168" s="168">
        <f>IF(D168&lt;&gt;D167,MAX(L$20:L167),AK167)</f>
        <v>0</v>
      </c>
      <c r="AL168" s="121" t="str">
        <f t="shared" si="56"/>
        <v>- -</v>
      </c>
      <c r="AM168" s="121">
        <f>MIN(K169:K$194)</f>
        <v>0</v>
      </c>
      <c r="AN168" s="352" t="str">
        <f t="shared" si="57"/>
        <v>- -</v>
      </c>
      <c r="AP168" s="352">
        <f t="shared" si="54"/>
        <v>999</v>
      </c>
      <c r="AQ168" s="143">
        <f t="shared" ca="1" si="48"/>
        <v>1</v>
      </c>
      <c r="AR168" s="143">
        <f t="shared" ca="1" si="49"/>
        <v>0</v>
      </c>
      <c r="AU168" s="281" t="str">
        <f>IF($C168=$AB$15,'NTS ONLY_set_year'!$E$143," ")&amp;$D168</f>
        <v xml:space="preserve"> </v>
      </c>
      <c r="AV168" s="121">
        <f t="shared" ca="1" si="59"/>
        <v>0</v>
      </c>
      <c r="AW168" s="198">
        <f t="shared" ca="1" si="60"/>
        <v>0</v>
      </c>
      <c r="BM168" s="352">
        <f t="shared" si="58"/>
        <v>1</v>
      </c>
      <c r="BN168" s="281">
        <f t="shared" si="58"/>
        <v>1</v>
      </c>
      <c r="BQ168" s="251"/>
      <c r="BR168" s="7"/>
      <c r="BS168" s="7"/>
      <c r="BT168" s="7"/>
      <c r="IU168" s="16"/>
    </row>
    <row r="169" spans="2:255" ht="13.2">
      <c r="B169" s="9">
        <v>150</v>
      </c>
      <c r="C169" s="17"/>
      <c r="D169" s="72"/>
      <c r="E169" s="76"/>
      <c r="F169" s="76"/>
      <c r="G169" s="76" t="str">
        <f ca="1">IF(ISBLANK(D169),IF(AND(ISNUMBER(D168),D168&lt;$AF$5),'NTS ONLY_set_year'!$E$62,"- -"),IF(D169&gt;$AF$5,$AG$5,IF(D169&gt;D168+1,$AG$6,IF(D169&lt;D168,$AG$7,Y169))))</f>
        <v>- -</v>
      </c>
      <c r="H169" s="532"/>
      <c r="I169" s="621"/>
      <c r="J169" s="534"/>
      <c r="K169" s="555"/>
      <c r="L169" s="556"/>
      <c r="M169" s="557" t="str">
        <f t="shared" si="42"/>
        <v/>
      </c>
      <c r="N169" s="558"/>
      <c r="O169" s="559"/>
      <c r="P169" s="560"/>
      <c r="Q169" s="559"/>
      <c r="R169" s="18" t="str">
        <f t="shared" si="50"/>
        <v/>
      </c>
      <c r="S169" s="36"/>
      <c r="T169" s="120" t="str">
        <f ca="1">INDEX('NTS ONLY_set_year'!E:E,MATCH(TEXT($X169,"Ddd"),'NTS ONLY_set_year'!C:C,0))</f>
        <v>Dim</v>
      </c>
      <c r="U169" s="186" t="str">
        <f t="shared" ca="1" si="51"/>
        <v>juin</v>
      </c>
      <c r="X169" s="347">
        <f t="shared" ca="1" si="55"/>
        <v>46173</v>
      </c>
      <c r="Y169" s="452" t="str">
        <f t="shared" ca="1" si="52"/>
        <v>Dim. juin , 2026</v>
      </c>
      <c r="Z169" s="143">
        <f t="shared" ca="1" si="43"/>
        <v>30</v>
      </c>
      <c r="AA169" s="348">
        <f t="shared" ca="1" si="44"/>
        <v>6</v>
      </c>
      <c r="AB169" s="168">
        <f t="shared" ca="1" si="53"/>
        <v>0</v>
      </c>
      <c r="AF169" s="349">
        <f t="shared" ca="1" si="45"/>
        <v>99</v>
      </c>
      <c r="AG169" s="350">
        <f ca="1">MIN(AF169:AF$195)</f>
        <v>99</v>
      </c>
      <c r="AH169" s="121" t="b">
        <f t="shared" si="46"/>
        <v>0</v>
      </c>
      <c r="AJ169" s="191">
        <f t="shared" ca="1" si="47"/>
        <v>0</v>
      </c>
      <c r="AK169" s="168">
        <f>IF(D169&lt;&gt;D168,MAX(L$20:L168),AK168)</f>
        <v>0</v>
      </c>
      <c r="AL169" s="121" t="str">
        <f t="shared" si="56"/>
        <v>- -</v>
      </c>
      <c r="AM169" s="121">
        <f>MIN(K170:K$194)</f>
        <v>0</v>
      </c>
      <c r="AN169" s="352" t="str">
        <f t="shared" si="57"/>
        <v>- -</v>
      </c>
      <c r="AP169" s="352">
        <f t="shared" si="54"/>
        <v>999</v>
      </c>
      <c r="AQ169" s="143">
        <f t="shared" ca="1" si="48"/>
        <v>1</v>
      </c>
      <c r="AR169" s="143">
        <f t="shared" ca="1" si="49"/>
        <v>0</v>
      </c>
      <c r="AU169" s="281" t="str">
        <f>IF($C169=$AB$15,'NTS ONLY_set_year'!$E$143," ")&amp;$D169</f>
        <v xml:space="preserve"> </v>
      </c>
      <c r="AV169" s="121">
        <f t="shared" ca="1" si="59"/>
        <v>0</v>
      </c>
      <c r="AW169" s="198">
        <f t="shared" ca="1" si="60"/>
        <v>0</v>
      </c>
      <c r="BM169" s="352">
        <f t="shared" si="58"/>
        <v>1</v>
      </c>
      <c r="BN169" s="281">
        <f t="shared" si="58"/>
        <v>1</v>
      </c>
      <c r="BQ169" s="251"/>
      <c r="BR169" s="7"/>
      <c r="BS169" s="7"/>
      <c r="BT169" s="7"/>
      <c r="IU169" s="16"/>
    </row>
    <row r="170" spans="2:255" ht="13.2">
      <c r="B170" s="9">
        <v>151</v>
      </c>
      <c r="C170" s="17"/>
      <c r="D170" s="72"/>
      <c r="E170" s="76"/>
      <c r="F170" s="76"/>
      <c r="G170" s="76" t="str">
        <f ca="1">IF(ISBLANK(D170),IF(AND(ISNUMBER(D169),D169&lt;$AF$5),'NTS ONLY_set_year'!$E$62,"- -"),IF(D170&gt;$AF$5,$AG$5,IF(D170&gt;D169+1,$AG$6,IF(D170&lt;D169,$AG$7,Y170))))</f>
        <v>- -</v>
      </c>
      <c r="H170" s="532"/>
      <c r="I170" s="621"/>
      <c r="J170" s="534"/>
      <c r="K170" s="555"/>
      <c r="L170" s="556"/>
      <c r="M170" s="557" t="str">
        <f t="shared" si="42"/>
        <v/>
      </c>
      <c r="N170" s="558"/>
      <c r="O170" s="559"/>
      <c r="P170" s="560"/>
      <c r="Q170" s="559"/>
      <c r="R170" s="18" t="str">
        <f t="shared" si="50"/>
        <v/>
      </c>
      <c r="S170" s="36"/>
      <c r="T170" s="120" t="str">
        <f ca="1">INDEX('NTS ONLY_set_year'!E:E,MATCH(TEXT($X170,"Ddd"),'NTS ONLY_set_year'!C:C,0))</f>
        <v>Dim</v>
      </c>
      <c r="U170" s="186" t="str">
        <f t="shared" ca="1" si="51"/>
        <v>juin</v>
      </c>
      <c r="X170" s="347">
        <f t="shared" ca="1" si="55"/>
        <v>46173</v>
      </c>
      <c r="Y170" s="452" t="str">
        <f t="shared" ca="1" si="52"/>
        <v>Dim. juin , 2026</v>
      </c>
      <c r="Z170" s="143">
        <f t="shared" ca="1" si="43"/>
        <v>30</v>
      </c>
      <c r="AA170" s="348">
        <f t="shared" ca="1" si="44"/>
        <v>6</v>
      </c>
      <c r="AB170" s="168">
        <f t="shared" ca="1" si="53"/>
        <v>0</v>
      </c>
      <c r="AF170" s="349">
        <f t="shared" ca="1" si="45"/>
        <v>99</v>
      </c>
      <c r="AG170" s="350">
        <f ca="1">MIN(AF170:AF$195)</f>
        <v>99</v>
      </c>
      <c r="AH170" s="121" t="b">
        <f t="shared" si="46"/>
        <v>0</v>
      </c>
      <c r="AJ170" s="191">
        <f t="shared" ca="1" si="47"/>
        <v>0</v>
      </c>
      <c r="AK170" s="168">
        <f>IF(D170&lt;&gt;D169,MAX(L$20:L169),AK169)</f>
        <v>0</v>
      </c>
      <c r="AL170" s="121" t="str">
        <f t="shared" si="56"/>
        <v>- -</v>
      </c>
      <c r="AM170" s="121">
        <f>MIN(K171:K$194)</f>
        <v>0</v>
      </c>
      <c r="AN170" s="352" t="str">
        <f t="shared" si="57"/>
        <v>- -</v>
      </c>
      <c r="AP170" s="352">
        <f t="shared" si="54"/>
        <v>999</v>
      </c>
      <c r="AQ170" s="143">
        <f t="shared" ca="1" si="48"/>
        <v>1</v>
      </c>
      <c r="AR170" s="143">
        <f t="shared" ca="1" si="49"/>
        <v>0</v>
      </c>
      <c r="AU170" s="281" t="str">
        <f>IF($C170=$AB$15,'NTS ONLY_set_year'!$E$143," ")&amp;$D170</f>
        <v xml:space="preserve"> </v>
      </c>
      <c r="AV170" s="121">
        <f t="shared" ca="1" si="59"/>
        <v>0</v>
      </c>
      <c r="AW170" s="198">
        <f t="shared" ca="1" si="60"/>
        <v>0</v>
      </c>
      <c r="BM170" s="352">
        <f t="shared" si="58"/>
        <v>1</v>
      </c>
      <c r="BN170" s="281">
        <f t="shared" si="58"/>
        <v>1</v>
      </c>
      <c r="BQ170" s="251"/>
      <c r="BR170" s="7"/>
      <c r="BS170" s="7"/>
      <c r="BT170" s="7"/>
      <c r="IU170" s="16"/>
    </row>
    <row r="171" spans="2:255" ht="13.2">
      <c r="B171" s="9">
        <v>152</v>
      </c>
      <c r="C171" s="17"/>
      <c r="D171" s="72"/>
      <c r="E171" s="76"/>
      <c r="F171" s="76"/>
      <c r="G171" s="76" t="str">
        <f ca="1">IF(ISBLANK(D171),IF(AND(ISNUMBER(D170),D170&lt;$AF$5),'NTS ONLY_set_year'!$E$62,"- -"),IF(D171&gt;$AF$5,$AG$5,IF(D171&gt;D170+1,$AG$6,IF(D171&lt;D170,$AG$7,Y171))))</f>
        <v>- -</v>
      </c>
      <c r="H171" s="532"/>
      <c r="I171" s="621"/>
      <c r="J171" s="534"/>
      <c r="K171" s="555"/>
      <c r="L171" s="556"/>
      <c r="M171" s="557" t="str">
        <f t="shared" si="42"/>
        <v/>
      </c>
      <c r="N171" s="558"/>
      <c r="O171" s="559"/>
      <c r="P171" s="560"/>
      <c r="Q171" s="559"/>
      <c r="R171" s="18" t="str">
        <f t="shared" si="50"/>
        <v/>
      </c>
      <c r="S171" s="36"/>
      <c r="T171" s="120" t="str">
        <f ca="1">INDEX('NTS ONLY_set_year'!E:E,MATCH(TEXT($X171,"Ddd"),'NTS ONLY_set_year'!C:C,0))</f>
        <v>Dim</v>
      </c>
      <c r="U171" s="186" t="str">
        <f t="shared" ca="1" si="51"/>
        <v>juin</v>
      </c>
      <c r="X171" s="347">
        <f t="shared" ca="1" si="55"/>
        <v>46173</v>
      </c>
      <c r="Y171" s="452" t="str">
        <f t="shared" ca="1" si="52"/>
        <v>Dim. juin , 2026</v>
      </c>
      <c r="Z171" s="143">
        <f t="shared" ca="1" si="43"/>
        <v>30</v>
      </c>
      <c r="AA171" s="348">
        <f t="shared" ca="1" si="44"/>
        <v>6</v>
      </c>
      <c r="AB171" s="168">
        <f t="shared" ca="1" si="53"/>
        <v>0</v>
      </c>
      <c r="AF171" s="349">
        <f t="shared" ca="1" si="45"/>
        <v>99</v>
      </c>
      <c r="AG171" s="350">
        <f ca="1">MIN(AF171:AF$195)</f>
        <v>99</v>
      </c>
      <c r="AH171" s="121" t="b">
        <f t="shared" si="46"/>
        <v>0</v>
      </c>
      <c r="AJ171" s="191">
        <f t="shared" ca="1" si="47"/>
        <v>0</v>
      </c>
      <c r="AK171" s="168">
        <f>IF(D171&lt;&gt;D170,MAX(L$20:L170),AK170)</f>
        <v>0</v>
      </c>
      <c r="AL171" s="121" t="str">
        <f t="shared" si="56"/>
        <v>- -</v>
      </c>
      <c r="AM171" s="121">
        <f>MIN(K172:K$194)</f>
        <v>0</v>
      </c>
      <c r="AN171" s="352" t="str">
        <f t="shared" si="57"/>
        <v>- -</v>
      </c>
      <c r="AP171" s="352">
        <f t="shared" si="54"/>
        <v>999</v>
      </c>
      <c r="AQ171" s="143">
        <f t="shared" ca="1" si="48"/>
        <v>1</v>
      </c>
      <c r="AR171" s="143">
        <f t="shared" ca="1" si="49"/>
        <v>0</v>
      </c>
      <c r="AU171" s="281" t="str">
        <f>IF($C171=$AB$15,'NTS ONLY_set_year'!$E$143," ")&amp;$D171</f>
        <v xml:space="preserve"> </v>
      </c>
      <c r="AV171" s="121">
        <f t="shared" ca="1" si="59"/>
        <v>0</v>
      </c>
      <c r="AW171" s="198">
        <f t="shared" ca="1" si="60"/>
        <v>0</v>
      </c>
      <c r="BM171" s="352">
        <f t="shared" si="58"/>
        <v>1</v>
      </c>
      <c r="BN171" s="281">
        <f t="shared" si="58"/>
        <v>1</v>
      </c>
      <c r="BQ171" s="251"/>
      <c r="BR171" s="7"/>
      <c r="BS171" s="7"/>
      <c r="BT171" s="7"/>
      <c r="IU171" s="16"/>
    </row>
    <row r="172" spans="2:255" ht="13.2">
      <c r="B172" s="9">
        <v>153</v>
      </c>
      <c r="C172" s="17"/>
      <c r="D172" s="72"/>
      <c r="E172" s="76"/>
      <c r="F172" s="76"/>
      <c r="G172" s="76" t="str">
        <f ca="1">IF(ISBLANK(D172),IF(AND(ISNUMBER(D171),D171&lt;$AF$5),'NTS ONLY_set_year'!$E$62,"- -"),IF(D172&gt;$AF$5,$AG$5,IF(D172&gt;D171+1,$AG$6,IF(D172&lt;D171,$AG$7,Y172))))</f>
        <v>- -</v>
      </c>
      <c r="H172" s="532"/>
      <c r="I172" s="621"/>
      <c r="J172" s="534"/>
      <c r="K172" s="555"/>
      <c r="L172" s="556"/>
      <c r="M172" s="557" t="str">
        <f t="shared" si="42"/>
        <v/>
      </c>
      <c r="N172" s="558"/>
      <c r="O172" s="559"/>
      <c r="P172" s="560"/>
      <c r="Q172" s="559"/>
      <c r="R172" s="18" t="str">
        <f t="shared" si="50"/>
        <v/>
      </c>
      <c r="S172" s="36"/>
      <c r="T172" s="120" t="str">
        <f ca="1">INDEX('NTS ONLY_set_year'!E:E,MATCH(TEXT($X172,"Ddd"),'NTS ONLY_set_year'!C:C,0))</f>
        <v>Dim</v>
      </c>
      <c r="U172" s="186" t="str">
        <f t="shared" ca="1" si="51"/>
        <v>juin</v>
      </c>
      <c r="X172" s="347">
        <f t="shared" ca="1" si="55"/>
        <v>46173</v>
      </c>
      <c r="Y172" s="452" t="str">
        <f t="shared" ca="1" si="52"/>
        <v>Dim. juin , 2026</v>
      </c>
      <c r="Z172" s="143">
        <f t="shared" ca="1" si="43"/>
        <v>30</v>
      </c>
      <c r="AA172" s="348">
        <f t="shared" ca="1" si="44"/>
        <v>6</v>
      </c>
      <c r="AB172" s="168">
        <f t="shared" ca="1" si="53"/>
        <v>0</v>
      </c>
      <c r="AF172" s="349">
        <f t="shared" ca="1" si="45"/>
        <v>99</v>
      </c>
      <c r="AG172" s="350">
        <f ca="1">MIN(AF172:AF$195)</f>
        <v>99</v>
      </c>
      <c r="AH172" s="121" t="b">
        <f t="shared" si="46"/>
        <v>0</v>
      </c>
      <c r="AJ172" s="191">
        <f t="shared" ca="1" si="47"/>
        <v>0</v>
      </c>
      <c r="AK172" s="168">
        <f>IF(D172&lt;&gt;D171,MAX(L$20:L171),AK171)</f>
        <v>0</v>
      </c>
      <c r="AL172" s="121" t="str">
        <f t="shared" si="56"/>
        <v>- -</v>
      </c>
      <c r="AM172" s="121">
        <f>MIN(K173:K$194)</f>
        <v>0</v>
      </c>
      <c r="AN172" s="352" t="str">
        <f t="shared" si="57"/>
        <v>- -</v>
      </c>
      <c r="AP172" s="352">
        <f t="shared" si="54"/>
        <v>999</v>
      </c>
      <c r="AQ172" s="143">
        <f t="shared" ca="1" si="48"/>
        <v>1</v>
      </c>
      <c r="AR172" s="143">
        <f t="shared" ca="1" si="49"/>
        <v>0</v>
      </c>
      <c r="AU172" s="281" t="str">
        <f>IF($C172=$AB$15,'NTS ONLY_set_year'!$E$143," ")&amp;$D172</f>
        <v xml:space="preserve"> </v>
      </c>
      <c r="AV172" s="121">
        <f t="shared" ca="1" si="59"/>
        <v>0</v>
      </c>
      <c r="AW172" s="198">
        <f t="shared" ca="1" si="60"/>
        <v>0</v>
      </c>
      <c r="BM172" s="352">
        <f t="shared" si="58"/>
        <v>1</v>
      </c>
      <c r="BN172" s="281">
        <f t="shared" si="58"/>
        <v>1</v>
      </c>
      <c r="BQ172" s="251"/>
      <c r="BR172" s="7"/>
      <c r="BS172" s="7"/>
      <c r="BT172" s="7"/>
      <c r="IU172" s="16"/>
    </row>
    <row r="173" spans="2:255" ht="13.2">
      <c r="B173" s="9">
        <v>154</v>
      </c>
      <c r="C173" s="17"/>
      <c r="D173" s="72"/>
      <c r="E173" s="76"/>
      <c r="F173" s="76"/>
      <c r="G173" s="76" t="str">
        <f ca="1">IF(ISBLANK(D173),IF(AND(ISNUMBER(D172),D172&lt;$AF$5),'NTS ONLY_set_year'!$E$62,"- -"),IF(D173&gt;$AF$5,$AG$5,IF(D173&gt;D172+1,$AG$6,IF(D173&lt;D172,$AG$7,Y173))))</f>
        <v>- -</v>
      </c>
      <c r="H173" s="532"/>
      <c r="I173" s="621"/>
      <c r="J173" s="534"/>
      <c r="K173" s="555"/>
      <c r="L173" s="556"/>
      <c r="M173" s="557" t="str">
        <f t="shared" si="42"/>
        <v/>
      </c>
      <c r="N173" s="558"/>
      <c r="O173" s="559"/>
      <c r="P173" s="560"/>
      <c r="Q173" s="559"/>
      <c r="R173" s="18" t="str">
        <f t="shared" si="50"/>
        <v/>
      </c>
      <c r="S173" s="36"/>
      <c r="T173" s="120" t="str">
        <f ca="1">INDEX('NTS ONLY_set_year'!E:E,MATCH(TEXT($X173,"Ddd"),'NTS ONLY_set_year'!C:C,0))</f>
        <v>Dim</v>
      </c>
      <c r="U173" s="186" t="str">
        <f t="shared" ca="1" si="51"/>
        <v>juin</v>
      </c>
      <c r="X173" s="347">
        <f t="shared" ca="1" si="55"/>
        <v>46173</v>
      </c>
      <c r="Y173" s="452" t="str">
        <f t="shared" ca="1" si="52"/>
        <v>Dim. juin , 2026</v>
      </c>
      <c r="Z173" s="143">
        <f t="shared" ca="1" si="43"/>
        <v>30</v>
      </c>
      <c r="AA173" s="348">
        <f t="shared" ca="1" si="44"/>
        <v>6</v>
      </c>
      <c r="AB173" s="168">
        <f t="shared" ca="1" si="53"/>
        <v>0</v>
      </c>
      <c r="AF173" s="349">
        <f t="shared" ca="1" si="45"/>
        <v>99</v>
      </c>
      <c r="AG173" s="350">
        <f ca="1">MIN(AF173:AF$195)</f>
        <v>99</v>
      </c>
      <c r="AH173" s="121" t="b">
        <f t="shared" si="46"/>
        <v>0</v>
      </c>
      <c r="AJ173" s="191">
        <f t="shared" ca="1" si="47"/>
        <v>0</v>
      </c>
      <c r="AK173" s="168">
        <f>IF(D173&lt;&gt;D172,MAX(L$20:L172),AK172)</f>
        <v>0</v>
      </c>
      <c r="AL173" s="121" t="str">
        <f t="shared" si="56"/>
        <v>- -</v>
      </c>
      <c r="AM173" s="121">
        <f>MIN(K174:K$194)</f>
        <v>0</v>
      </c>
      <c r="AN173" s="352" t="str">
        <f t="shared" si="57"/>
        <v>- -</v>
      </c>
      <c r="AP173" s="352">
        <f t="shared" si="54"/>
        <v>999</v>
      </c>
      <c r="AQ173" s="143">
        <f t="shared" ca="1" si="48"/>
        <v>1</v>
      </c>
      <c r="AR173" s="143">
        <f t="shared" ca="1" si="49"/>
        <v>0</v>
      </c>
      <c r="AU173" s="281" t="str">
        <f>IF($C173=$AB$15,'NTS ONLY_set_year'!$E$143," ")&amp;$D173</f>
        <v xml:space="preserve"> </v>
      </c>
      <c r="AV173" s="121">
        <f t="shared" ca="1" si="59"/>
        <v>0</v>
      </c>
      <c r="AW173" s="198">
        <f t="shared" ca="1" si="60"/>
        <v>0</v>
      </c>
      <c r="BM173" s="352">
        <f t="shared" si="58"/>
        <v>1</v>
      </c>
      <c r="BN173" s="281">
        <f t="shared" si="58"/>
        <v>1</v>
      </c>
      <c r="BQ173" s="251"/>
      <c r="BR173" s="7"/>
      <c r="BS173" s="7"/>
      <c r="BT173" s="7"/>
      <c r="IU173" s="16"/>
    </row>
    <row r="174" spans="2:255" ht="13.2">
      <c r="B174" s="9">
        <v>155</v>
      </c>
      <c r="C174" s="17"/>
      <c r="D174" s="72"/>
      <c r="E174" s="76"/>
      <c r="F174" s="76"/>
      <c r="G174" s="76" t="str">
        <f ca="1">IF(ISBLANK(D174),IF(AND(ISNUMBER(D173),D173&lt;$AF$5),'NTS ONLY_set_year'!$E$62,"- -"),IF(D174&gt;$AF$5,$AG$5,IF(D174&gt;D173+1,$AG$6,IF(D174&lt;D173,$AG$7,Y174))))</f>
        <v>- -</v>
      </c>
      <c r="H174" s="532"/>
      <c r="I174" s="621"/>
      <c r="J174" s="534"/>
      <c r="K174" s="555"/>
      <c r="L174" s="556"/>
      <c r="M174" s="557" t="str">
        <f t="shared" si="42"/>
        <v/>
      </c>
      <c r="N174" s="558"/>
      <c r="O174" s="559"/>
      <c r="P174" s="560"/>
      <c r="Q174" s="559"/>
      <c r="R174" s="18" t="str">
        <f t="shared" si="50"/>
        <v/>
      </c>
      <c r="S174" s="36"/>
      <c r="T174" s="120" t="str">
        <f ca="1">INDEX('NTS ONLY_set_year'!E:E,MATCH(TEXT($X174,"Ddd"),'NTS ONLY_set_year'!C:C,0))</f>
        <v>Dim</v>
      </c>
      <c r="U174" s="186" t="str">
        <f t="shared" ca="1" si="51"/>
        <v>juin</v>
      </c>
      <c r="X174" s="347">
        <f t="shared" ca="1" si="55"/>
        <v>46173</v>
      </c>
      <c r="Y174" s="452" t="str">
        <f t="shared" ca="1" si="52"/>
        <v>Dim. juin , 2026</v>
      </c>
      <c r="Z174" s="143">
        <f t="shared" ca="1" si="43"/>
        <v>30</v>
      </c>
      <c r="AA174" s="348">
        <f t="shared" ca="1" si="44"/>
        <v>6</v>
      </c>
      <c r="AB174" s="168">
        <f t="shared" ca="1" si="53"/>
        <v>0</v>
      </c>
      <c r="AF174" s="349">
        <f t="shared" ca="1" si="45"/>
        <v>99</v>
      </c>
      <c r="AG174" s="350">
        <f ca="1">MIN(AF174:AF$195)</f>
        <v>99</v>
      </c>
      <c r="AH174" s="121" t="b">
        <f t="shared" si="46"/>
        <v>0</v>
      </c>
      <c r="AJ174" s="191">
        <f t="shared" ca="1" si="47"/>
        <v>0</v>
      </c>
      <c r="AK174" s="168">
        <f>IF(D174&lt;&gt;D173,MAX(L$20:L173),AK173)</f>
        <v>0</v>
      </c>
      <c r="AL174" s="121" t="str">
        <f t="shared" si="56"/>
        <v>- -</v>
      </c>
      <c r="AM174" s="121">
        <f>MIN(K175:K$194)</f>
        <v>0</v>
      </c>
      <c r="AN174" s="352" t="str">
        <f t="shared" si="57"/>
        <v>- -</v>
      </c>
      <c r="AP174" s="352">
        <f t="shared" si="54"/>
        <v>999</v>
      </c>
      <c r="AQ174" s="143">
        <f t="shared" ca="1" si="48"/>
        <v>1</v>
      </c>
      <c r="AR174" s="143">
        <f t="shared" ca="1" si="49"/>
        <v>0</v>
      </c>
      <c r="AU174" s="281" t="str">
        <f>IF($C174=$AB$15,'NTS ONLY_set_year'!$E$143," ")&amp;$D174</f>
        <v xml:space="preserve"> </v>
      </c>
      <c r="AV174" s="121">
        <f t="shared" ca="1" si="59"/>
        <v>0</v>
      </c>
      <c r="AW174" s="198">
        <f t="shared" ca="1" si="60"/>
        <v>0</v>
      </c>
      <c r="BM174" s="352">
        <f t="shared" si="58"/>
        <v>1</v>
      </c>
      <c r="BN174" s="281">
        <f t="shared" si="58"/>
        <v>1</v>
      </c>
      <c r="BQ174" s="251"/>
      <c r="BR174" s="7"/>
      <c r="BS174" s="7"/>
      <c r="BT174" s="7"/>
      <c r="IU174" s="16"/>
    </row>
    <row r="175" spans="2:255" ht="13.2">
      <c r="B175" s="9">
        <v>156</v>
      </c>
      <c r="C175" s="17"/>
      <c r="D175" s="72"/>
      <c r="E175" s="76"/>
      <c r="F175" s="76"/>
      <c r="G175" s="76" t="str">
        <f ca="1">IF(ISBLANK(D175),IF(AND(ISNUMBER(D174),D174&lt;$AF$5),'NTS ONLY_set_year'!$E$62,"- -"),IF(D175&gt;$AF$5,$AG$5,IF(D175&gt;D174+1,$AG$6,IF(D175&lt;D174,$AG$7,Y175))))</f>
        <v>- -</v>
      </c>
      <c r="H175" s="532"/>
      <c r="I175" s="621"/>
      <c r="J175" s="534"/>
      <c r="K175" s="555"/>
      <c r="L175" s="556"/>
      <c r="M175" s="557" t="str">
        <f t="shared" si="42"/>
        <v/>
      </c>
      <c r="N175" s="558"/>
      <c r="O175" s="559"/>
      <c r="P175" s="560"/>
      <c r="Q175" s="559"/>
      <c r="R175" s="18" t="str">
        <f t="shared" si="50"/>
        <v/>
      </c>
      <c r="S175" s="36"/>
      <c r="T175" s="120" t="str">
        <f ca="1">INDEX('NTS ONLY_set_year'!E:E,MATCH(TEXT($X175,"Ddd"),'NTS ONLY_set_year'!C:C,0))</f>
        <v>Dim</v>
      </c>
      <c r="U175" s="186" t="str">
        <f t="shared" ca="1" si="51"/>
        <v>juin</v>
      </c>
      <c r="X175" s="347">
        <f t="shared" ca="1" si="55"/>
        <v>46173</v>
      </c>
      <c r="Y175" s="452" t="str">
        <f t="shared" ca="1" si="52"/>
        <v>Dim. juin , 2026</v>
      </c>
      <c r="Z175" s="143">
        <f t="shared" ca="1" si="43"/>
        <v>30</v>
      </c>
      <c r="AA175" s="348">
        <f t="shared" ca="1" si="44"/>
        <v>6</v>
      </c>
      <c r="AB175" s="168">
        <f t="shared" ca="1" si="53"/>
        <v>0</v>
      </c>
      <c r="AF175" s="349">
        <f t="shared" ca="1" si="45"/>
        <v>99</v>
      </c>
      <c r="AG175" s="350">
        <f ca="1">MIN(AF175:AF$195)</f>
        <v>99</v>
      </c>
      <c r="AH175" s="121" t="b">
        <f t="shared" si="46"/>
        <v>0</v>
      </c>
      <c r="AJ175" s="191">
        <f t="shared" ca="1" si="47"/>
        <v>0</v>
      </c>
      <c r="AK175" s="168">
        <f>IF(D175&lt;&gt;D174,MAX(L$20:L174),AK174)</f>
        <v>0</v>
      </c>
      <c r="AL175" s="121" t="str">
        <f t="shared" si="56"/>
        <v>- -</v>
      </c>
      <c r="AM175" s="121">
        <f>MIN(K176:K$194)</f>
        <v>0</v>
      </c>
      <c r="AN175" s="352" t="str">
        <f t="shared" si="57"/>
        <v>- -</v>
      </c>
      <c r="AP175" s="352">
        <f t="shared" si="54"/>
        <v>999</v>
      </c>
      <c r="AQ175" s="143">
        <f t="shared" ca="1" si="48"/>
        <v>1</v>
      </c>
      <c r="AR175" s="143">
        <f t="shared" ca="1" si="49"/>
        <v>0</v>
      </c>
      <c r="AU175" s="281" t="str">
        <f>IF($C175=$AB$15,'NTS ONLY_set_year'!$E$143," ")&amp;$D175</f>
        <v xml:space="preserve"> </v>
      </c>
      <c r="AV175" s="121">
        <f t="shared" ca="1" si="59"/>
        <v>0</v>
      </c>
      <c r="AW175" s="198">
        <f t="shared" ca="1" si="60"/>
        <v>0</v>
      </c>
      <c r="BM175" s="352">
        <f t="shared" si="58"/>
        <v>1</v>
      </c>
      <c r="BN175" s="281">
        <f t="shared" si="58"/>
        <v>1</v>
      </c>
      <c r="BQ175" s="251"/>
      <c r="BR175" s="7"/>
      <c r="BS175" s="7"/>
      <c r="BT175" s="7"/>
      <c r="IU175" s="16"/>
    </row>
    <row r="176" spans="2:255" ht="13.2">
      <c r="B176" s="9">
        <v>157</v>
      </c>
      <c r="C176" s="17"/>
      <c r="D176" s="72"/>
      <c r="E176" s="76"/>
      <c r="F176" s="76"/>
      <c r="G176" s="76" t="str">
        <f ca="1">IF(ISBLANK(D176),IF(AND(ISNUMBER(D175),D175&lt;$AF$5),'NTS ONLY_set_year'!$E$62,"- -"),IF(D176&gt;$AF$5,$AG$5,IF(D176&gt;D175+1,$AG$6,IF(D176&lt;D175,$AG$7,Y176))))</f>
        <v>- -</v>
      </c>
      <c r="H176" s="532"/>
      <c r="I176" s="621"/>
      <c r="J176" s="534"/>
      <c r="K176" s="555"/>
      <c r="L176" s="556"/>
      <c r="M176" s="557" t="str">
        <f t="shared" si="42"/>
        <v/>
      </c>
      <c r="N176" s="558"/>
      <c r="O176" s="559"/>
      <c r="P176" s="560"/>
      <c r="Q176" s="559"/>
      <c r="R176" s="18" t="str">
        <f t="shared" si="50"/>
        <v/>
      </c>
      <c r="S176" s="36"/>
      <c r="T176" s="120" t="str">
        <f ca="1">INDEX('NTS ONLY_set_year'!E:E,MATCH(TEXT($X176,"Ddd"),'NTS ONLY_set_year'!C:C,0))</f>
        <v>Dim</v>
      </c>
      <c r="U176" s="186" t="str">
        <f t="shared" ca="1" si="51"/>
        <v>juin</v>
      </c>
      <c r="X176" s="347">
        <f t="shared" ca="1" si="55"/>
        <v>46173</v>
      </c>
      <c r="Y176" s="452" t="str">
        <f t="shared" ca="1" si="52"/>
        <v>Dim. juin , 2026</v>
      </c>
      <c r="Z176" s="143">
        <f t="shared" ca="1" si="43"/>
        <v>30</v>
      </c>
      <c r="AA176" s="348">
        <f t="shared" ca="1" si="44"/>
        <v>6</v>
      </c>
      <c r="AB176" s="168">
        <f t="shared" ca="1" si="53"/>
        <v>0</v>
      </c>
      <c r="AF176" s="349">
        <f t="shared" ca="1" si="45"/>
        <v>99</v>
      </c>
      <c r="AG176" s="350">
        <f ca="1">MIN(AF176:AF$195)</f>
        <v>99</v>
      </c>
      <c r="AH176" s="121" t="b">
        <f t="shared" si="46"/>
        <v>0</v>
      </c>
      <c r="AJ176" s="191">
        <f t="shared" ca="1" si="47"/>
        <v>0</v>
      </c>
      <c r="AK176" s="168">
        <f>IF(D176&lt;&gt;D175,MAX(L$20:L175),AK175)</f>
        <v>0</v>
      </c>
      <c r="AL176" s="121" t="str">
        <f t="shared" si="56"/>
        <v>- -</v>
      </c>
      <c r="AM176" s="121">
        <f>MIN(K177:K$194)</f>
        <v>0</v>
      </c>
      <c r="AN176" s="352" t="str">
        <f t="shared" si="57"/>
        <v>- -</v>
      </c>
      <c r="AP176" s="352">
        <f t="shared" si="54"/>
        <v>999</v>
      </c>
      <c r="AQ176" s="143">
        <f t="shared" ca="1" si="48"/>
        <v>1</v>
      </c>
      <c r="AR176" s="143">
        <f t="shared" ca="1" si="49"/>
        <v>0</v>
      </c>
      <c r="AU176" s="281" t="str">
        <f>IF($C176=$AB$15,'NTS ONLY_set_year'!$E$143," ")&amp;$D176</f>
        <v xml:space="preserve"> </v>
      </c>
      <c r="AV176" s="121">
        <f t="shared" ca="1" si="59"/>
        <v>0</v>
      </c>
      <c r="AW176" s="198">
        <f t="shared" ca="1" si="60"/>
        <v>0</v>
      </c>
      <c r="BM176" s="352">
        <f t="shared" si="58"/>
        <v>1</v>
      </c>
      <c r="BN176" s="281">
        <f t="shared" si="58"/>
        <v>1</v>
      </c>
      <c r="BQ176" s="251"/>
      <c r="BR176" s="7"/>
      <c r="BS176" s="7"/>
      <c r="BT176" s="7"/>
      <c r="IU176" s="16"/>
    </row>
    <row r="177" spans="2:255" ht="13.2">
      <c r="B177" s="9">
        <v>158</v>
      </c>
      <c r="C177" s="17"/>
      <c r="D177" s="72"/>
      <c r="E177" s="76"/>
      <c r="F177" s="76"/>
      <c r="G177" s="76" t="str">
        <f ca="1">IF(ISBLANK(D177),IF(AND(ISNUMBER(D176),D176&lt;$AF$5),'NTS ONLY_set_year'!$E$62,"- -"),IF(D177&gt;$AF$5,$AG$5,IF(D177&gt;D176+1,$AG$6,IF(D177&lt;D176,$AG$7,Y177))))</f>
        <v>- -</v>
      </c>
      <c r="H177" s="532"/>
      <c r="I177" s="621"/>
      <c r="J177" s="534"/>
      <c r="K177" s="555"/>
      <c r="L177" s="556"/>
      <c r="M177" s="557" t="str">
        <f t="shared" si="42"/>
        <v/>
      </c>
      <c r="N177" s="558"/>
      <c r="O177" s="559"/>
      <c r="P177" s="560"/>
      <c r="Q177" s="559"/>
      <c r="R177" s="18" t="str">
        <f t="shared" si="50"/>
        <v/>
      </c>
      <c r="S177" s="36"/>
      <c r="T177" s="120" t="str">
        <f ca="1">INDEX('NTS ONLY_set_year'!E:E,MATCH(TEXT($X177,"Ddd"),'NTS ONLY_set_year'!C:C,0))</f>
        <v>Dim</v>
      </c>
      <c r="U177" s="186" t="str">
        <f t="shared" ca="1" si="51"/>
        <v>juin</v>
      </c>
      <c r="X177" s="347">
        <f t="shared" ca="1" si="55"/>
        <v>46173</v>
      </c>
      <c r="Y177" s="452" t="str">
        <f t="shared" ca="1" si="52"/>
        <v>Dim. juin , 2026</v>
      </c>
      <c r="Z177" s="143">
        <f t="shared" ca="1" si="43"/>
        <v>30</v>
      </c>
      <c r="AA177" s="348">
        <f t="shared" ca="1" si="44"/>
        <v>6</v>
      </c>
      <c r="AB177" s="168">
        <f t="shared" ca="1" si="53"/>
        <v>0</v>
      </c>
      <c r="AF177" s="349">
        <f t="shared" ca="1" si="45"/>
        <v>99</v>
      </c>
      <c r="AG177" s="350">
        <f ca="1">MIN(AF177:AF$195)</f>
        <v>99</v>
      </c>
      <c r="AH177" s="121" t="b">
        <f t="shared" si="46"/>
        <v>0</v>
      </c>
      <c r="AJ177" s="191">
        <f t="shared" ca="1" si="47"/>
        <v>0</v>
      </c>
      <c r="AK177" s="168">
        <f>IF(D177&lt;&gt;D176,MAX(L$20:L176),AK176)</f>
        <v>0</v>
      </c>
      <c r="AL177" s="121" t="str">
        <f t="shared" si="56"/>
        <v>- -</v>
      </c>
      <c r="AM177" s="121">
        <f>MIN(K178:K$194)</f>
        <v>0</v>
      </c>
      <c r="AN177" s="352" t="str">
        <f t="shared" si="57"/>
        <v>- -</v>
      </c>
      <c r="AP177" s="352">
        <f t="shared" si="54"/>
        <v>999</v>
      </c>
      <c r="AQ177" s="143">
        <f t="shared" ca="1" si="48"/>
        <v>1</v>
      </c>
      <c r="AR177" s="143">
        <f t="shared" ca="1" si="49"/>
        <v>0</v>
      </c>
      <c r="AU177" s="281" t="str">
        <f>IF($C177=$AB$15,'NTS ONLY_set_year'!$E$143," ")&amp;$D177</f>
        <v xml:space="preserve"> </v>
      </c>
      <c r="AV177" s="121">
        <f t="shared" ca="1" si="59"/>
        <v>0</v>
      </c>
      <c r="AW177" s="198">
        <f t="shared" ca="1" si="60"/>
        <v>0</v>
      </c>
      <c r="BM177" s="352">
        <f t="shared" si="58"/>
        <v>1</v>
      </c>
      <c r="BN177" s="281">
        <f t="shared" si="58"/>
        <v>1</v>
      </c>
      <c r="BQ177" s="251"/>
      <c r="BR177" s="7"/>
      <c r="BS177" s="7"/>
      <c r="BT177" s="7"/>
      <c r="IU177" s="16"/>
    </row>
    <row r="178" spans="2:255" ht="13.2">
      <c r="B178" s="9">
        <v>159</v>
      </c>
      <c r="C178" s="17"/>
      <c r="D178" s="72"/>
      <c r="E178" s="76"/>
      <c r="F178" s="76"/>
      <c r="G178" s="76" t="str">
        <f ca="1">IF(ISBLANK(D178),IF(AND(ISNUMBER(D177),D177&lt;$AF$5),'NTS ONLY_set_year'!$E$62,"- -"),IF(D178&gt;$AF$5,$AG$5,IF(D178&gt;D177+1,$AG$6,IF(D178&lt;D177,$AG$7,Y178))))</f>
        <v>- -</v>
      </c>
      <c r="H178" s="532"/>
      <c r="I178" s="621"/>
      <c r="J178" s="534"/>
      <c r="K178" s="555"/>
      <c r="L178" s="556"/>
      <c r="M178" s="557" t="str">
        <f t="shared" si="42"/>
        <v/>
      </c>
      <c r="N178" s="558"/>
      <c r="O178" s="559"/>
      <c r="P178" s="560"/>
      <c r="Q178" s="559"/>
      <c r="R178" s="18" t="str">
        <f t="shared" si="50"/>
        <v/>
      </c>
      <c r="S178" s="36"/>
      <c r="T178" s="120" t="str">
        <f ca="1">INDEX('NTS ONLY_set_year'!E:E,MATCH(TEXT($X178,"Ddd"),'NTS ONLY_set_year'!C:C,0))</f>
        <v>Dim</v>
      </c>
      <c r="U178" s="186" t="str">
        <f t="shared" ca="1" si="51"/>
        <v>juin</v>
      </c>
      <c r="X178" s="347">
        <f t="shared" ca="1" si="55"/>
        <v>46173</v>
      </c>
      <c r="Y178" s="452" t="str">
        <f t="shared" ca="1" si="52"/>
        <v>Dim. juin , 2026</v>
      </c>
      <c r="Z178" s="143">
        <f t="shared" ca="1" si="43"/>
        <v>30</v>
      </c>
      <c r="AA178" s="348">
        <f t="shared" ca="1" si="44"/>
        <v>6</v>
      </c>
      <c r="AB178" s="168">
        <f t="shared" ca="1" si="53"/>
        <v>0</v>
      </c>
      <c r="AF178" s="349">
        <f t="shared" ca="1" si="45"/>
        <v>99</v>
      </c>
      <c r="AG178" s="350">
        <f ca="1">MIN(AF178:AF$195)</f>
        <v>99</v>
      </c>
      <c r="AH178" s="121" t="b">
        <f t="shared" si="46"/>
        <v>0</v>
      </c>
      <c r="AJ178" s="191">
        <f t="shared" ca="1" si="47"/>
        <v>0</v>
      </c>
      <c r="AK178" s="168">
        <f>IF(D178&lt;&gt;D177,MAX(L$20:L177),AK177)</f>
        <v>0</v>
      </c>
      <c r="AL178" s="121" t="str">
        <f t="shared" si="56"/>
        <v>- -</v>
      </c>
      <c r="AM178" s="121">
        <f>MIN(K179:K$194)</f>
        <v>0</v>
      </c>
      <c r="AN178" s="352" t="str">
        <f t="shared" si="57"/>
        <v>- -</v>
      </c>
      <c r="AP178" s="352">
        <f t="shared" si="54"/>
        <v>999</v>
      </c>
      <c r="AQ178" s="143">
        <f t="shared" ca="1" si="48"/>
        <v>1</v>
      </c>
      <c r="AR178" s="143">
        <f t="shared" ca="1" si="49"/>
        <v>0</v>
      </c>
      <c r="AU178" s="281" t="str">
        <f>IF($C178=$AB$15,'NTS ONLY_set_year'!$E$143," ")&amp;$D178</f>
        <v xml:space="preserve"> </v>
      </c>
      <c r="AV178" s="121">
        <f t="shared" ca="1" si="59"/>
        <v>0</v>
      </c>
      <c r="AW178" s="198">
        <f t="shared" ca="1" si="60"/>
        <v>0</v>
      </c>
      <c r="BM178" s="352">
        <f t="shared" si="58"/>
        <v>1</v>
      </c>
      <c r="BN178" s="281">
        <f t="shared" si="58"/>
        <v>1</v>
      </c>
      <c r="BQ178" s="251"/>
      <c r="BR178" s="7"/>
      <c r="BS178" s="7"/>
      <c r="BT178" s="7"/>
      <c r="IU178" s="16"/>
    </row>
    <row r="179" spans="2:255" ht="13.2">
      <c r="B179" s="9">
        <v>160</v>
      </c>
      <c r="C179" s="17"/>
      <c r="D179" s="72"/>
      <c r="E179" s="76"/>
      <c r="F179" s="76"/>
      <c r="G179" s="76" t="str">
        <f ca="1">IF(ISBLANK(D179),IF(AND(ISNUMBER(D178),D178&lt;$AF$5),'NTS ONLY_set_year'!$E$62,"- -"),IF(D179&gt;$AF$5,$AG$5,IF(D179&gt;D178+1,$AG$6,IF(D179&lt;D178,$AG$7,Y179))))</f>
        <v>- -</v>
      </c>
      <c r="H179" s="532"/>
      <c r="I179" s="621"/>
      <c r="J179" s="534"/>
      <c r="K179" s="555"/>
      <c r="L179" s="556"/>
      <c r="M179" s="557" t="str">
        <f t="shared" si="42"/>
        <v/>
      </c>
      <c r="N179" s="558"/>
      <c r="O179" s="559"/>
      <c r="P179" s="560"/>
      <c r="Q179" s="559"/>
      <c r="R179" s="18" t="str">
        <f t="shared" si="50"/>
        <v/>
      </c>
      <c r="S179" s="36"/>
      <c r="T179" s="120" t="str">
        <f ca="1">INDEX('NTS ONLY_set_year'!E:E,MATCH(TEXT($X179,"Ddd"),'NTS ONLY_set_year'!C:C,0))</f>
        <v>Dim</v>
      </c>
      <c r="U179" s="186" t="str">
        <f t="shared" ca="1" si="51"/>
        <v>juin</v>
      </c>
      <c r="X179" s="347">
        <f t="shared" ca="1" si="55"/>
        <v>46173</v>
      </c>
      <c r="Y179" s="452" t="str">
        <f t="shared" ca="1" si="52"/>
        <v>Dim. juin , 2026</v>
      </c>
      <c r="Z179" s="143">
        <f t="shared" ca="1" si="43"/>
        <v>30</v>
      </c>
      <c r="AA179" s="348">
        <f t="shared" ca="1" si="44"/>
        <v>6</v>
      </c>
      <c r="AB179" s="168">
        <f t="shared" ca="1" si="53"/>
        <v>0</v>
      </c>
      <c r="AF179" s="349">
        <f t="shared" ca="1" si="45"/>
        <v>99</v>
      </c>
      <c r="AG179" s="350">
        <f ca="1">MIN(AF179:AF$195)</f>
        <v>99</v>
      </c>
      <c r="AH179" s="121" t="b">
        <f t="shared" si="46"/>
        <v>0</v>
      </c>
      <c r="AJ179" s="191">
        <f t="shared" ca="1" si="47"/>
        <v>0</v>
      </c>
      <c r="AK179" s="168">
        <f>IF(D179&lt;&gt;D178,MAX(L$20:L178),AK178)</f>
        <v>0</v>
      </c>
      <c r="AL179" s="121" t="str">
        <f t="shared" si="56"/>
        <v>- -</v>
      </c>
      <c r="AM179" s="121">
        <f>MIN(K180:K$194)</f>
        <v>0</v>
      </c>
      <c r="AN179" s="352" t="str">
        <f t="shared" si="57"/>
        <v>- -</v>
      </c>
      <c r="AP179" s="352">
        <f t="shared" si="54"/>
        <v>999</v>
      </c>
      <c r="AQ179" s="143">
        <f t="shared" ca="1" si="48"/>
        <v>1</v>
      </c>
      <c r="AR179" s="143">
        <f t="shared" ca="1" si="49"/>
        <v>0</v>
      </c>
      <c r="AU179" s="281" t="str">
        <f>IF($C179=$AB$15,'NTS ONLY_set_year'!$E$143," ")&amp;$D179</f>
        <v xml:space="preserve"> </v>
      </c>
      <c r="AV179" s="121">
        <f t="shared" ca="1" si="59"/>
        <v>0</v>
      </c>
      <c r="AW179" s="198">
        <f t="shared" ca="1" si="60"/>
        <v>0</v>
      </c>
      <c r="BM179" s="352">
        <f t="shared" si="58"/>
        <v>1</v>
      </c>
      <c r="BN179" s="281">
        <f t="shared" si="58"/>
        <v>1</v>
      </c>
      <c r="BQ179" s="251"/>
      <c r="BR179" s="7"/>
      <c r="BS179" s="7"/>
      <c r="BT179" s="7"/>
      <c r="IU179" s="16"/>
    </row>
    <row r="180" spans="2:255" ht="13.2">
      <c r="B180" s="9">
        <v>161</v>
      </c>
      <c r="C180" s="17"/>
      <c r="D180" s="72"/>
      <c r="E180" s="76"/>
      <c r="F180" s="76"/>
      <c r="G180" s="76" t="str">
        <f ca="1">IF(ISBLANK(D180),IF(AND(ISNUMBER(D179),D179&lt;$AF$5),'NTS ONLY_set_year'!$E$62,"- -"),IF(D180&gt;$AF$5,$AG$5,IF(D180&gt;D179+1,$AG$6,IF(D180&lt;D179,$AG$7,Y180))))</f>
        <v>- -</v>
      </c>
      <c r="H180" s="532"/>
      <c r="I180" s="621"/>
      <c r="J180" s="534"/>
      <c r="K180" s="555"/>
      <c r="L180" s="556"/>
      <c r="M180" s="557" t="str">
        <f t="shared" si="42"/>
        <v/>
      </c>
      <c r="N180" s="558"/>
      <c r="O180" s="559"/>
      <c r="P180" s="560"/>
      <c r="Q180" s="559"/>
      <c r="R180" s="18" t="str">
        <f t="shared" si="50"/>
        <v/>
      </c>
      <c r="S180" s="36"/>
      <c r="T180" s="120" t="str">
        <f ca="1">INDEX('NTS ONLY_set_year'!E:E,MATCH(TEXT($X180,"Ddd"),'NTS ONLY_set_year'!C:C,0))</f>
        <v>Dim</v>
      </c>
      <c r="U180" s="186" t="str">
        <f t="shared" ca="1" si="51"/>
        <v>juin</v>
      </c>
      <c r="X180" s="347">
        <f t="shared" ca="1" si="55"/>
        <v>46173</v>
      </c>
      <c r="Y180" s="452" t="str">
        <f t="shared" ca="1" si="52"/>
        <v>Dim. juin , 2026</v>
      </c>
      <c r="Z180" s="143">
        <f t="shared" ca="1" si="43"/>
        <v>30</v>
      </c>
      <c r="AA180" s="348">
        <f t="shared" ca="1" si="44"/>
        <v>6</v>
      </c>
      <c r="AB180" s="168">
        <f t="shared" ca="1" si="53"/>
        <v>0</v>
      </c>
      <c r="AF180" s="349">
        <f t="shared" ca="1" si="45"/>
        <v>99</v>
      </c>
      <c r="AG180" s="350">
        <f ca="1">MIN(AF180:AF$195)</f>
        <v>99</v>
      </c>
      <c r="AH180" s="121" t="b">
        <f t="shared" si="46"/>
        <v>0</v>
      </c>
      <c r="AJ180" s="191">
        <f t="shared" ca="1" si="47"/>
        <v>0</v>
      </c>
      <c r="AK180" s="168">
        <f>IF(D180&lt;&gt;D179,MAX(L$20:L179),AK179)</f>
        <v>0</v>
      </c>
      <c r="AL180" s="121" t="str">
        <f t="shared" si="56"/>
        <v>- -</v>
      </c>
      <c r="AM180" s="121">
        <f>MIN(K181:K$194)</f>
        <v>0</v>
      </c>
      <c r="AN180" s="352" t="str">
        <f t="shared" si="57"/>
        <v>- -</v>
      </c>
      <c r="AP180" s="352">
        <f t="shared" si="54"/>
        <v>999</v>
      </c>
      <c r="AQ180" s="143">
        <f t="shared" ca="1" si="48"/>
        <v>1</v>
      </c>
      <c r="AR180" s="143">
        <f t="shared" ca="1" si="49"/>
        <v>0</v>
      </c>
      <c r="AU180" s="281" t="str">
        <f>IF($C180=$AB$15,'NTS ONLY_set_year'!$E$143," ")&amp;$D180</f>
        <v xml:space="preserve"> </v>
      </c>
      <c r="AV180" s="121">
        <f t="shared" ca="1" si="59"/>
        <v>0</v>
      </c>
      <c r="AW180" s="198">
        <f t="shared" ca="1" si="60"/>
        <v>0</v>
      </c>
      <c r="BM180" s="352">
        <f t="shared" si="58"/>
        <v>1</v>
      </c>
      <c r="BN180" s="281">
        <f t="shared" si="58"/>
        <v>1</v>
      </c>
      <c r="BQ180" s="251"/>
      <c r="BR180" s="7"/>
      <c r="BS180" s="7"/>
      <c r="BT180" s="7"/>
      <c r="IU180" s="16"/>
    </row>
    <row r="181" spans="2:255" ht="13.2">
      <c r="B181" s="9">
        <v>162</v>
      </c>
      <c r="C181" s="17"/>
      <c r="D181" s="72"/>
      <c r="E181" s="76"/>
      <c r="F181" s="76"/>
      <c r="G181" s="76" t="str">
        <f ca="1">IF(ISBLANK(D181),IF(AND(ISNUMBER(D180),D180&lt;$AF$5),'NTS ONLY_set_year'!$E$62,"- -"),IF(D181&gt;$AF$5,$AG$5,IF(D181&gt;D180+1,$AG$6,IF(D181&lt;D180,$AG$7,Y181))))</f>
        <v>- -</v>
      </c>
      <c r="H181" s="532"/>
      <c r="I181" s="621"/>
      <c r="J181" s="534"/>
      <c r="K181" s="555"/>
      <c r="L181" s="556"/>
      <c r="M181" s="557" t="str">
        <f t="shared" si="42"/>
        <v/>
      </c>
      <c r="N181" s="558"/>
      <c r="O181" s="559"/>
      <c r="P181" s="560"/>
      <c r="Q181" s="559"/>
      <c r="R181" s="18" t="str">
        <f t="shared" si="50"/>
        <v/>
      </c>
      <c r="S181" s="36"/>
      <c r="T181" s="120" t="str">
        <f ca="1">INDEX('NTS ONLY_set_year'!E:E,MATCH(TEXT($X181,"Ddd"),'NTS ONLY_set_year'!C:C,0))</f>
        <v>Dim</v>
      </c>
      <c r="U181" s="186" t="str">
        <f t="shared" ca="1" si="51"/>
        <v>juin</v>
      </c>
      <c r="X181" s="347">
        <f t="shared" ca="1" si="55"/>
        <v>46173</v>
      </c>
      <c r="Y181" s="452" t="str">
        <f t="shared" ca="1" si="52"/>
        <v>Dim. juin , 2026</v>
      </c>
      <c r="Z181" s="143">
        <f t="shared" ca="1" si="43"/>
        <v>30</v>
      </c>
      <c r="AA181" s="348">
        <f t="shared" ca="1" si="44"/>
        <v>6</v>
      </c>
      <c r="AB181" s="168">
        <f t="shared" ca="1" si="53"/>
        <v>0</v>
      </c>
      <c r="AF181" s="349">
        <f t="shared" ca="1" si="45"/>
        <v>99</v>
      </c>
      <c r="AG181" s="350">
        <f ca="1">MIN(AF181:AF$195)</f>
        <v>99</v>
      </c>
      <c r="AH181" s="121" t="b">
        <f t="shared" si="46"/>
        <v>0</v>
      </c>
      <c r="AJ181" s="191">
        <f t="shared" ca="1" si="47"/>
        <v>0</v>
      </c>
      <c r="AK181" s="168">
        <f>IF(D181&lt;&gt;D180,MAX(L$20:L180),AK180)</f>
        <v>0</v>
      </c>
      <c r="AL181" s="121" t="str">
        <f t="shared" si="56"/>
        <v>- -</v>
      </c>
      <c r="AM181" s="121">
        <f>MIN(K182:K$194)</f>
        <v>0</v>
      </c>
      <c r="AN181" s="352" t="str">
        <f t="shared" si="57"/>
        <v>- -</v>
      </c>
      <c r="AP181" s="352">
        <f t="shared" si="54"/>
        <v>999</v>
      </c>
      <c r="AQ181" s="143">
        <f t="shared" ca="1" si="48"/>
        <v>1</v>
      </c>
      <c r="AR181" s="143">
        <f t="shared" ca="1" si="49"/>
        <v>0</v>
      </c>
      <c r="AU181" s="281" t="str">
        <f>IF($C181=$AB$15,'NTS ONLY_set_year'!$E$143," ")&amp;$D181</f>
        <v xml:space="preserve"> </v>
      </c>
      <c r="AV181" s="121">
        <f t="shared" ca="1" si="59"/>
        <v>0</v>
      </c>
      <c r="AW181" s="198">
        <f t="shared" ca="1" si="60"/>
        <v>0</v>
      </c>
      <c r="BM181" s="352">
        <f t="shared" si="58"/>
        <v>1</v>
      </c>
      <c r="BN181" s="281">
        <f t="shared" si="58"/>
        <v>1</v>
      </c>
      <c r="BQ181" s="251"/>
      <c r="BR181" s="7"/>
      <c r="BS181" s="7"/>
      <c r="BT181" s="7"/>
      <c r="IU181" s="16"/>
    </row>
    <row r="182" spans="2:255" ht="13.2">
      <c r="B182" s="9">
        <v>163</v>
      </c>
      <c r="C182" s="17"/>
      <c r="D182" s="72"/>
      <c r="E182" s="76"/>
      <c r="F182" s="76"/>
      <c r="G182" s="76" t="str">
        <f ca="1">IF(ISBLANK(D182),IF(AND(ISNUMBER(D181),D181&lt;$AF$5),'NTS ONLY_set_year'!$E$62,"- -"),IF(D182&gt;$AF$5,$AG$5,IF(D182&gt;D181+1,$AG$6,IF(D182&lt;D181,$AG$7,Y182))))</f>
        <v>- -</v>
      </c>
      <c r="H182" s="532"/>
      <c r="I182" s="621"/>
      <c r="J182" s="534"/>
      <c r="K182" s="555"/>
      <c r="L182" s="556"/>
      <c r="M182" s="557" t="str">
        <f t="shared" si="42"/>
        <v/>
      </c>
      <c r="N182" s="558"/>
      <c r="O182" s="559"/>
      <c r="P182" s="560"/>
      <c r="Q182" s="559"/>
      <c r="R182" s="18" t="str">
        <f t="shared" si="50"/>
        <v/>
      </c>
      <c r="S182" s="36"/>
      <c r="T182" s="120" t="str">
        <f ca="1">INDEX('NTS ONLY_set_year'!E:E,MATCH(TEXT($X182,"Ddd"),'NTS ONLY_set_year'!C:C,0))</f>
        <v>Dim</v>
      </c>
      <c r="U182" s="186" t="str">
        <f t="shared" ca="1" si="51"/>
        <v>juin</v>
      </c>
      <c r="X182" s="347">
        <f t="shared" ca="1" si="55"/>
        <v>46173</v>
      </c>
      <c r="Y182" s="452" t="str">
        <f t="shared" ca="1" si="52"/>
        <v>Dim. juin , 2026</v>
      </c>
      <c r="Z182" s="143">
        <f t="shared" ca="1" si="43"/>
        <v>30</v>
      </c>
      <c r="AA182" s="348">
        <f t="shared" ca="1" si="44"/>
        <v>6</v>
      </c>
      <c r="AB182" s="168">
        <f t="shared" ca="1" si="53"/>
        <v>0</v>
      </c>
      <c r="AF182" s="349">
        <f t="shared" ca="1" si="45"/>
        <v>99</v>
      </c>
      <c r="AG182" s="350">
        <f ca="1">MIN(AF182:AF$195)</f>
        <v>99</v>
      </c>
      <c r="AH182" s="121" t="b">
        <f t="shared" si="46"/>
        <v>0</v>
      </c>
      <c r="AJ182" s="191">
        <f t="shared" ca="1" si="47"/>
        <v>0</v>
      </c>
      <c r="AK182" s="168">
        <f>IF(D182&lt;&gt;D181,MAX(L$20:L181),AK181)</f>
        <v>0</v>
      </c>
      <c r="AL182" s="121" t="str">
        <f t="shared" si="56"/>
        <v>- -</v>
      </c>
      <c r="AM182" s="121">
        <f>MIN(K183:K$194)</f>
        <v>0</v>
      </c>
      <c r="AN182" s="352" t="str">
        <f t="shared" si="57"/>
        <v>- -</v>
      </c>
      <c r="AP182" s="352">
        <f t="shared" si="54"/>
        <v>999</v>
      </c>
      <c r="AQ182" s="143">
        <f t="shared" ca="1" si="48"/>
        <v>1</v>
      </c>
      <c r="AR182" s="143">
        <f t="shared" ca="1" si="49"/>
        <v>0</v>
      </c>
      <c r="AU182" s="281" t="str">
        <f>IF($C182=$AB$15,'NTS ONLY_set_year'!$E$143," ")&amp;$D182</f>
        <v xml:space="preserve"> </v>
      </c>
      <c r="AV182" s="121">
        <f t="shared" ca="1" si="59"/>
        <v>0</v>
      </c>
      <c r="AW182" s="198">
        <f t="shared" ca="1" si="60"/>
        <v>0</v>
      </c>
      <c r="BM182" s="352">
        <f t="shared" si="58"/>
        <v>1</v>
      </c>
      <c r="BN182" s="281">
        <f t="shared" si="58"/>
        <v>1</v>
      </c>
      <c r="BQ182" s="251"/>
      <c r="BR182" s="7"/>
      <c r="BS182" s="7"/>
      <c r="BT182" s="7"/>
      <c r="IU182" s="16"/>
    </row>
    <row r="183" spans="2:255" ht="13.2">
      <c r="B183" s="9">
        <v>164</v>
      </c>
      <c r="C183" s="17"/>
      <c r="D183" s="72"/>
      <c r="E183" s="76"/>
      <c r="F183" s="76"/>
      <c r="G183" s="76" t="str">
        <f ca="1">IF(ISBLANK(D183),IF(AND(ISNUMBER(D182),D182&lt;$AF$5),'NTS ONLY_set_year'!$E$62,"- -"),IF(D183&gt;$AF$5,$AG$5,IF(D183&gt;D182+1,$AG$6,IF(D183&lt;D182,$AG$7,Y183))))</f>
        <v>- -</v>
      </c>
      <c r="H183" s="532"/>
      <c r="I183" s="621"/>
      <c r="J183" s="534"/>
      <c r="K183" s="555"/>
      <c r="L183" s="556"/>
      <c r="M183" s="557" t="str">
        <f t="shared" si="42"/>
        <v/>
      </c>
      <c r="N183" s="558"/>
      <c r="O183" s="559"/>
      <c r="P183" s="560"/>
      <c r="Q183" s="559"/>
      <c r="R183" s="18" t="str">
        <f t="shared" si="50"/>
        <v/>
      </c>
      <c r="S183" s="36"/>
      <c r="T183" s="120" t="str">
        <f ca="1">INDEX('NTS ONLY_set_year'!E:E,MATCH(TEXT($X183,"Ddd"),'NTS ONLY_set_year'!C:C,0))</f>
        <v>Dim</v>
      </c>
      <c r="U183" s="186" t="str">
        <f t="shared" ca="1" si="51"/>
        <v>juin</v>
      </c>
      <c r="X183" s="347">
        <f t="shared" ca="1" si="55"/>
        <v>46173</v>
      </c>
      <c r="Y183" s="452" t="str">
        <f t="shared" ca="1" si="52"/>
        <v>Dim. juin , 2026</v>
      </c>
      <c r="Z183" s="143">
        <f t="shared" ca="1" si="43"/>
        <v>30</v>
      </c>
      <c r="AA183" s="348">
        <f t="shared" ca="1" si="44"/>
        <v>6</v>
      </c>
      <c r="AB183" s="168">
        <f t="shared" ca="1" si="53"/>
        <v>0</v>
      </c>
      <c r="AF183" s="349">
        <f t="shared" ca="1" si="45"/>
        <v>99</v>
      </c>
      <c r="AG183" s="350">
        <f ca="1">MIN(AF183:AF$195)</f>
        <v>99</v>
      </c>
      <c r="AH183" s="121" t="b">
        <f t="shared" si="46"/>
        <v>0</v>
      </c>
      <c r="AJ183" s="191">
        <f t="shared" ca="1" si="47"/>
        <v>0</v>
      </c>
      <c r="AK183" s="168">
        <f>IF(D183&lt;&gt;D182,MAX(L$20:L182),AK182)</f>
        <v>0</v>
      </c>
      <c r="AL183" s="121" t="str">
        <f t="shared" si="56"/>
        <v>- -</v>
      </c>
      <c r="AM183" s="121">
        <f>MIN(K184:K$194)</f>
        <v>0</v>
      </c>
      <c r="AN183" s="352" t="str">
        <f t="shared" si="57"/>
        <v>- -</v>
      </c>
      <c r="AP183" s="352">
        <f t="shared" si="54"/>
        <v>999</v>
      </c>
      <c r="AQ183" s="143">
        <f t="shared" ca="1" si="48"/>
        <v>1</v>
      </c>
      <c r="AR183" s="143">
        <f t="shared" ca="1" si="49"/>
        <v>0</v>
      </c>
      <c r="AU183" s="281" t="str">
        <f>IF($C183=$AB$15,'NTS ONLY_set_year'!$E$143," ")&amp;$D183</f>
        <v xml:space="preserve"> </v>
      </c>
      <c r="AV183" s="121">
        <f t="shared" ca="1" si="59"/>
        <v>0</v>
      </c>
      <c r="AW183" s="198">
        <f t="shared" ca="1" si="60"/>
        <v>0</v>
      </c>
      <c r="BM183" s="352">
        <f t="shared" si="58"/>
        <v>1</v>
      </c>
      <c r="BN183" s="281">
        <f t="shared" si="58"/>
        <v>1</v>
      </c>
      <c r="BQ183" s="251"/>
      <c r="BR183" s="7"/>
      <c r="BS183" s="7"/>
      <c r="BT183" s="7"/>
      <c r="IU183" s="16"/>
    </row>
    <row r="184" spans="2:255" ht="13.2">
      <c r="B184" s="9">
        <v>165</v>
      </c>
      <c r="C184" s="17"/>
      <c r="D184" s="72"/>
      <c r="E184" s="76"/>
      <c r="F184" s="76"/>
      <c r="G184" s="76" t="str">
        <f ca="1">IF(ISBLANK(D184),IF(AND(ISNUMBER(D183),D183&lt;$AF$5),'NTS ONLY_set_year'!$E$62,"- -"),IF(D184&gt;$AF$5,$AG$5,IF(D184&gt;D183+1,$AG$6,IF(D184&lt;D183,$AG$7,Y184))))</f>
        <v>- -</v>
      </c>
      <c r="H184" s="532"/>
      <c r="I184" s="621"/>
      <c r="J184" s="534"/>
      <c r="K184" s="555"/>
      <c r="L184" s="556"/>
      <c r="M184" s="557" t="str">
        <f t="shared" si="42"/>
        <v/>
      </c>
      <c r="N184" s="558"/>
      <c r="O184" s="559"/>
      <c r="P184" s="560"/>
      <c r="Q184" s="559"/>
      <c r="R184" s="18" t="str">
        <f t="shared" si="50"/>
        <v/>
      </c>
      <c r="S184" s="36"/>
      <c r="T184" s="120" t="str">
        <f ca="1">INDEX('NTS ONLY_set_year'!E:E,MATCH(TEXT($X184,"Ddd"),'NTS ONLY_set_year'!C:C,0))</f>
        <v>Dim</v>
      </c>
      <c r="U184" s="186" t="str">
        <f t="shared" ca="1" si="51"/>
        <v>juin</v>
      </c>
      <c r="X184" s="347">
        <f t="shared" ca="1" si="55"/>
        <v>46173</v>
      </c>
      <c r="Y184" s="452" t="str">
        <f t="shared" ca="1" si="52"/>
        <v>Dim. juin , 2026</v>
      </c>
      <c r="Z184" s="143">
        <f t="shared" ca="1" si="43"/>
        <v>30</v>
      </c>
      <c r="AA184" s="348">
        <f t="shared" ca="1" si="44"/>
        <v>6</v>
      </c>
      <c r="AB184" s="168">
        <f t="shared" ca="1" si="53"/>
        <v>0</v>
      </c>
      <c r="AF184" s="349">
        <f t="shared" ca="1" si="45"/>
        <v>99</v>
      </c>
      <c r="AG184" s="350">
        <f ca="1">MIN(AF184:AF$195)</f>
        <v>99</v>
      </c>
      <c r="AH184" s="121" t="b">
        <f t="shared" si="46"/>
        <v>0</v>
      </c>
      <c r="AJ184" s="191">
        <f t="shared" ca="1" si="47"/>
        <v>0</v>
      </c>
      <c r="AK184" s="168">
        <f>IF(D184&lt;&gt;D183,MAX(L$20:L183),AK183)</f>
        <v>0</v>
      </c>
      <c r="AL184" s="121" t="str">
        <f t="shared" si="56"/>
        <v>- -</v>
      </c>
      <c r="AM184" s="121">
        <f>MIN(K185:K$194)</f>
        <v>0</v>
      </c>
      <c r="AN184" s="352" t="str">
        <f t="shared" si="57"/>
        <v>- -</v>
      </c>
      <c r="AP184" s="352">
        <f t="shared" si="54"/>
        <v>999</v>
      </c>
      <c r="AQ184" s="143">
        <f t="shared" ca="1" si="48"/>
        <v>1</v>
      </c>
      <c r="AR184" s="143">
        <f t="shared" ca="1" si="49"/>
        <v>0</v>
      </c>
      <c r="AU184" s="281" t="str">
        <f>IF($C184=$AB$15,'NTS ONLY_set_year'!$E$143," ")&amp;$D184</f>
        <v xml:space="preserve"> </v>
      </c>
      <c r="AV184" s="121">
        <f t="shared" ca="1" si="59"/>
        <v>0</v>
      </c>
      <c r="AW184" s="198">
        <f t="shared" ca="1" si="60"/>
        <v>0</v>
      </c>
      <c r="BM184" s="352">
        <f t="shared" si="58"/>
        <v>1</v>
      </c>
      <c r="BN184" s="281">
        <f t="shared" si="58"/>
        <v>1</v>
      </c>
      <c r="BQ184" s="251"/>
      <c r="BR184" s="7"/>
      <c r="BS184" s="7"/>
      <c r="BT184" s="7"/>
      <c r="IU184" s="16"/>
    </row>
    <row r="185" spans="2:255" ht="13.2">
      <c r="B185" s="9">
        <v>166</v>
      </c>
      <c r="C185" s="17"/>
      <c r="D185" s="72"/>
      <c r="E185" s="76"/>
      <c r="F185" s="76"/>
      <c r="G185" s="76" t="str">
        <f ca="1">IF(ISBLANK(D185),IF(AND(ISNUMBER(D184),D184&lt;$AF$5),'NTS ONLY_set_year'!$E$62,"- -"),IF(D185&gt;$AF$5,$AG$5,IF(D185&gt;D184+1,$AG$6,IF(D185&lt;D184,$AG$7,Y185))))</f>
        <v>- -</v>
      </c>
      <c r="H185" s="532"/>
      <c r="I185" s="621"/>
      <c r="J185" s="534"/>
      <c r="K185" s="555"/>
      <c r="L185" s="556"/>
      <c r="M185" s="557" t="str">
        <f t="shared" si="42"/>
        <v/>
      </c>
      <c r="N185" s="558"/>
      <c r="O185" s="559"/>
      <c r="P185" s="560"/>
      <c r="Q185" s="559"/>
      <c r="R185" s="18" t="str">
        <f t="shared" si="50"/>
        <v/>
      </c>
      <c r="S185" s="36"/>
      <c r="T185" s="120" t="str">
        <f ca="1">INDEX('NTS ONLY_set_year'!E:E,MATCH(TEXT($X185,"Ddd"),'NTS ONLY_set_year'!C:C,0))</f>
        <v>Dim</v>
      </c>
      <c r="U185" s="186" t="str">
        <f t="shared" ca="1" si="51"/>
        <v>juin</v>
      </c>
      <c r="X185" s="347">
        <f t="shared" ca="1" si="55"/>
        <v>46173</v>
      </c>
      <c r="Y185" s="452" t="str">
        <f t="shared" ca="1" si="52"/>
        <v>Dim. juin , 2026</v>
      </c>
      <c r="Z185" s="143">
        <f t="shared" ca="1" si="43"/>
        <v>30</v>
      </c>
      <c r="AA185" s="348">
        <f t="shared" ca="1" si="44"/>
        <v>6</v>
      </c>
      <c r="AB185" s="168">
        <f t="shared" ca="1" si="53"/>
        <v>0</v>
      </c>
      <c r="AF185" s="349">
        <f t="shared" ca="1" si="45"/>
        <v>99</v>
      </c>
      <c r="AG185" s="350">
        <f ca="1">MIN(AF185:AF$195)</f>
        <v>99</v>
      </c>
      <c r="AH185" s="121" t="b">
        <f t="shared" si="46"/>
        <v>0</v>
      </c>
      <c r="AJ185" s="191">
        <f t="shared" ca="1" si="47"/>
        <v>0</v>
      </c>
      <c r="AK185" s="168">
        <f>IF(D185&lt;&gt;D184,MAX(L$20:L184),AK184)</f>
        <v>0</v>
      </c>
      <c r="AL185" s="121" t="str">
        <f t="shared" si="56"/>
        <v>- -</v>
      </c>
      <c r="AM185" s="121">
        <f>MIN(K186:K$194)</f>
        <v>0</v>
      </c>
      <c r="AN185" s="352" t="str">
        <f t="shared" si="57"/>
        <v>- -</v>
      </c>
      <c r="AP185" s="352">
        <f t="shared" si="54"/>
        <v>999</v>
      </c>
      <c r="AQ185" s="143">
        <f t="shared" ca="1" si="48"/>
        <v>1</v>
      </c>
      <c r="AR185" s="143">
        <f t="shared" ca="1" si="49"/>
        <v>0</v>
      </c>
      <c r="AU185" s="281" t="str">
        <f>IF($C185=$AB$15,'NTS ONLY_set_year'!$E$143," ")&amp;$D185</f>
        <v xml:space="preserve"> </v>
      </c>
      <c r="AV185" s="121">
        <f t="shared" ca="1" si="59"/>
        <v>0</v>
      </c>
      <c r="AW185" s="198">
        <f t="shared" ca="1" si="60"/>
        <v>0</v>
      </c>
      <c r="BM185" s="352">
        <f t="shared" si="58"/>
        <v>1</v>
      </c>
      <c r="BN185" s="281">
        <f t="shared" si="58"/>
        <v>1</v>
      </c>
      <c r="BQ185" s="251"/>
      <c r="BR185" s="7"/>
      <c r="BS185" s="7"/>
      <c r="BT185" s="7"/>
      <c r="IU185" s="16"/>
    </row>
    <row r="186" spans="2:255" ht="13.2">
      <c r="B186" s="9">
        <v>167</v>
      </c>
      <c r="C186" s="17"/>
      <c r="D186" s="72"/>
      <c r="E186" s="76"/>
      <c r="F186" s="76"/>
      <c r="G186" s="76" t="str">
        <f ca="1">IF(ISBLANK(D186),IF(AND(ISNUMBER(D185),D185&lt;$AF$5),'NTS ONLY_set_year'!$E$62,"- -"),IF(D186&gt;$AF$5,$AG$5,IF(D186&gt;D185+1,$AG$6,IF(D186&lt;D185,$AG$7,Y186))))</f>
        <v>- -</v>
      </c>
      <c r="H186" s="532"/>
      <c r="I186" s="621"/>
      <c r="J186" s="534"/>
      <c r="K186" s="555"/>
      <c r="L186" s="556"/>
      <c r="M186" s="557" t="str">
        <f t="shared" si="42"/>
        <v/>
      </c>
      <c r="N186" s="558"/>
      <c r="O186" s="559"/>
      <c r="P186" s="560"/>
      <c r="Q186" s="559"/>
      <c r="R186" s="18" t="str">
        <f t="shared" si="50"/>
        <v/>
      </c>
      <c r="S186" s="36"/>
      <c r="T186" s="120" t="str">
        <f ca="1">INDEX('NTS ONLY_set_year'!E:E,MATCH(TEXT($X186,"Ddd"),'NTS ONLY_set_year'!C:C,0))</f>
        <v>Dim</v>
      </c>
      <c r="U186" s="186" t="str">
        <f t="shared" ca="1" si="51"/>
        <v>juin</v>
      </c>
      <c r="X186" s="347">
        <f t="shared" ca="1" si="55"/>
        <v>46173</v>
      </c>
      <c r="Y186" s="452" t="str">
        <f t="shared" ca="1" si="52"/>
        <v>Dim. juin , 2026</v>
      </c>
      <c r="Z186" s="143">
        <f t="shared" ca="1" si="43"/>
        <v>30</v>
      </c>
      <c r="AA186" s="348">
        <f t="shared" ca="1" si="44"/>
        <v>6</v>
      </c>
      <c r="AB186" s="168">
        <f t="shared" ca="1" si="53"/>
        <v>0</v>
      </c>
      <c r="AF186" s="349">
        <f t="shared" ca="1" si="45"/>
        <v>99</v>
      </c>
      <c r="AG186" s="350">
        <f ca="1">MIN(AF186:AF$195)</f>
        <v>99</v>
      </c>
      <c r="AH186" s="121" t="b">
        <f t="shared" si="46"/>
        <v>0</v>
      </c>
      <c r="AJ186" s="191">
        <f t="shared" ca="1" si="47"/>
        <v>0</v>
      </c>
      <c r="AK186" s="168">
        <f>IF(D186&lt;&gt;D185,MAX(L$20:L185),AK185)</f>
        <v>0</v>
      </c>
      <c r="AL186" s="121" t="str">
        <f t="shared" si="56"/>
        <v>- -</v>
      </c>
      <c r="AM186" s="121">
        <f>MIN(K187:K$194)</f>
        <v>0</v>
      </c>
      <c r="AN186" s="352" t="str">
        <f t="shared" si="57"/>
        <v>- -</v>
      </c>
      <c r="AP186" s="352">
        <f t="shared" si="54"/>
        <v>999</v>
      </c>
      <c r="AQ186" s="143">
        <f t="shared" ca="1" si="48"/>
        <v>1</v>
      </c>
      <c r="AR186" s="143">
        <f t="shared" ca="1" si="49"/>
        <v>0</v>
      </c>
      <c r="AU186" s="281" t="str">
        <f>IF($C186=$AB$15,'NTS ONLY_set_year'!$E$143," ")&amp;$D186</f>
        <v xml:space="preserve"> </v>
      </c>
      <c r="AV186" s="121">
        <f t="shared" ca="1" si="59"/>
        <v>0</v>
      </c>
      <c r="AW186" s="198">
        <f t="shared" ca="1" si="60"/>
        <v>0</v>
      </c>
      <c r="BM186" s="352">
        <f t="shared" si="58"/>
        <v>1</v>
      </c>
      <c r="BN186" s="281">
        <f t="shared" si="58"/>
        <v>1</v>
      </c>
      <c r="BQ186" s="251"/>
      <c r="BR186" s="7"/>
      <c r="BS186" s="7"/>
      <c r="BT186" s="7"/>
      <c r="IU186" s="16"/>
    </row>
    <row r="187" spans="2:255" ht="13.2">
      <c r="B187" s="9">
        <v>168</v>
      </c>
      <c r="C187" s="17"/>
      <c r="D187" s="72"/>
      <c r="E187" s="76"/>
      <c r="F187" s="76"/>
      <c r="G187" s="76" t="str">
        <f ca="1">IF(ISBLANK(D187),IF(AND(ISNUMBER(D186),D186&lt;$AF$5),'NTS ONLY_set_year'!$E$62,"- -"),IF(D187&gt;$AF$5,$AG$5,IF(D187&gt;D186+1,$AG$6,IF(D187&lt;D186,$AG$7,Y187))))</f>
        <v>- -</v>
      </c>
      <c r="H187" s="532"/>
      <c r="I187" s="621"/>
      <c r="J187" s="534"/>
      <c r="K187" s="555"/>
      <c r="L187" s="556"/>
      <c r="M187" s="557" t="str">
        <f t="shared" si="42"/>
        <v/>
      </c>
      <c r="N187" s="558"/>
      <c r="O187" s="559"/>
      <c r="P187" s="560"/>
      <c r="Q187" s="559"/>
      <c r="R187" s="18" t="str">
        <f t="shared" si="50"/>
        <v/>
      </c>
      <c r="S187" s="36"/>
      <c r="T187" s="120" t="str">
        <f ca="1">INDEX('NTS ONLY_set_year'!E:E,MATCH(TEXT($X187,"Ddd"),'NTS ONLY_set_year'!C:C,0))</f>
        <v>Dim</v>
      </c>
      <c r="U187" s="186" t="str">
        <f t="shared" ca="1" si="51"/>
        <v>juin</v>
      </c>
      <c r="X187" s="347">
        <f t="shared" ca="1" si="55"/>
        <v>46173</v>
      </c>
      <c r="Y187" s="452" t="str">
        <f t="shared" ca="1" si="52"/>
        <v>Dim. juin , 2026</v>
      </c>
      <c r="Z187" s="143">
        <f t="shared" ca="1" si="43"/>
        <v>30</v>
      </c>
      <c r="AA187" s="348">
        <f t="shared" ca="1" si="44"/>
        <v>6</v>
      </c>
      <c r="AB187" s="168">
        <f t="shared" ca="1" si="53"/>
        <v>0</v>
      </c>
      <c r="AF187" s="349">
        <f t="shared" ca="1" si="45"/>
        <v>99</v>
      </c>
      <c r="AG187" s="350">
        <f ca="1">MIN(AF187:AF$195)</f>
        <v>99</v>
      </c>
      <c r="AH187" s="121" t="b">
        <f t="shared" si="46"/>
        <v>0</v>
      </c>
      <c r="AJ187" s="191">
        <f t="shared" ca="1" si="47"/>
        <v>0</v>
      </c>
      <c r="AK187" s="168">
        <f>IF(D187&lt;&gt;D186,MAX(L$20:L186),AK186)</f>
        <v>0</v>
      </c>
      <c r="AL187" s="121" t="str">
        <f t="shared" si="56"/>
        <v>- -</v>
      </c>
      <c r="AM187" s="121">
        <f>MIN(K188:K$194)</f>
        <v>0</v>
      </c>
      <c r="AN187" s="352" t="str">
        <f t="shared" si="57"/>
        <v>- -</v>
      </c>
      <c r="AP187" s="352">
        <f t="shared" si="54"/>
        <v>999</v>
      </c>
      <c r="AQ187" s="143">
        <f t="shared" ca="1" si="48"/>
        <v>1</v>
      </c>
      <c r="AR187" s="143">
        <f t="shared" ca="1" si="49"/>
        <v>0</v>
      </c>
      <c r="AU187" s="281" t="str">
        <f>IF($C187=$AB$15,'NTS ONLY_set_year'!$E$143," ")&amp;$D187</f>
        <v xml:space="preserve"> </v>
      </c>
      <c r="AV187" s="121">
        <f t="shared" ca="1" si="59"/>
        <v>0</v>
      </c>
      <c r="AW187" s="198">
        <f t="shared" ca="1" si="60"/>
        <v>0</v>
      </c>
      <c r="BM187" s="352">
        <f t="shared" si="58"/>
        <v>1</v>
      </c>
      <c r="BN187" s="281">
        <f t="shared" si="58"/>
        <v>1</v>
      </c>
      <c r="BQ187" s="251"/>
      <c r="BR187" s="7"/>
      <c r="BS187" s="7"/>
      <c r="BT187" s="7"/>
      <c r="IU187" s="16"/>
    </row>
    <row r="188" spans="2:255" ht="13.2">
      <c r="B188" s="9">
        <v>169</v>
      </c>
      <c r="C188" s="17"/>
      <c r="D188" s="72"/>
      <c r="E188" s="76"/>
      <c r="F188" s="76"/>
      <c r="G188" s="76" t="str">
        <f ca="1">IF(ISBLANK(D188),IF(AND(ISNUMBER(D187),D187&lt;$AF$5),'NTS ONLY_set_year'!$E$62,"- -"),IF(D188&gt;$AF$5,$AG$5,IF(D188&gt;D187+1,$AG$6,IF(D188&lt;D187,$AG$7,Y188))))</f>
        <v>- -</v>
      </c>
      <c r="H188" s="532"/>
      <c r="I188" s="621"/>
      <c r="J188" s="534"/>
      <c r="K188" s="555"/>
      <c r="L188" s="556"/>
      <c r="M188" s="557" t="str">
        <f t="shared" si="42"/>
        <v/>
      </c>
      <c r="N188" s="558"/>
      <c r="O188" s="559"/>
      <c r="P188" s="560"/>
      <c r="Q188" s="559"/>
      <c r="R188" s="18" t="str">
        <f t="shared" si="50"/>
        <v/>
      </c>
      <c r="S188" s="36"/>
      <c r="T188" s="120" t="str">
        <f ca="1">INDEX('NTS ONLY_set_year'!E:E,MATCH(TEXT($X188,"Ddd"),'NTS ONLY_set_year'!C:C,0))</f>
        <v>Dim</v>
      </c>
      <c r="U188" s="186" t="str">
        <f t="shared" ca="1" si="51"/>
        <v>juin</v>
      </c>
      <c r="X188" s="347">
        <f t="shared" ca="1" si="55"/>
        <v>46173</v>
      </c>
      <c r="Y188" s="452" t="str">
        <f t="shared" ca="1" si="52"/>
        <v>Dim. juin , 2026</v>
      </c>
      <c r="Z188" s="143">
        <f t="shared" ca="1" si="43"/>
        <v>30</v>
      </c>
      <c r="AA188" s="348">
        <f t="shared" ca="1" si="44"/>
        <v>6</v>
      </c>
      <c r="AB188" s="168">
        <f t="shared" ca="1" si="53"/>
        <v>0</v>
      </c>
      <c r="AF188" s="349">
        <f t="shared" ca="1" si="45"/>
        <v>99</v>
      </c>
      <c r="AG188" s="350">
        <f ca="1">MIN(AF188:AF$195)</f>
        <v>99</v>
      </c>
      <c r="AH188" s="121" t="b">
        <f t="shared" si="46"/>
        <v>0</v>
      </c>
      <c r="AJ188" s="191">
        <f t="shared" ca="1" si="47"/>
        <v>0</v>
      </c>
      <c r="AK188" s="168">
        <f>IF(D188&lt;&gt;D187,MAX(L$20:L187),AK187)</f>
        <v>0</v>
      </c>
      <c r="AL188" s="121" t="str">
        <f t="shared" si="56"/>
        <v>- -</v>
      </c>
      <c r="AM188" s="121">
        <f>MIN(K189:K$194)</f>
        <v>0</v>
      </c>
      <c r="AN188" s="352" t="str">
        <f t="shared" si="57"/>
        <v>- -</v>
      </c>
      <c r="AP188" s="352">
        <f t="shared" si="54"/>
        <v>999</v>
      </c>
      <c r="AQ188" s="143">
        <f t="shared" ca="1" si="48"/>
        <v>1</v>
      </c>
      <c r="AR188" s="143">
        <f t="shared" ca="1" si="49"/>
        <v>0</v>
      </c>
      <c r="AU188" s="281" t="str">
        <f>IF($C188=$AB$15,'NTS ONLY_set_year'!$E$143," ")&amp;$D188</f>
        <v xml:space="preserve"> </v>
      </c>
      <c r="AV188" s="121">
        <f t="shared" ca="1" si="59"/>
        <v>0</v>
      </c>
      <c r="AW188" s="198">
        <f t="shared" ca="1" si="60"/>
        <v>0</v>
      </c>
      <c r="BM188" s="352">
        <f t="shared" si="58"/>
        <v>1</v>
      </c>
      <c r="BN188" s="281">
        <f t="shared" si="58"/>
        <v>1</v>
      </c>
      <c r="BQ188" s="251"/>
      <c r="BR188" s="7"/>
      <c r="BS188" s="7"/>
      <c r="BT188" s="7"/>
      <c r="IU188" s="16"/>
    </row>
    <row r="189" spans="2:255" ht="13.2">
      <c r="B189" s="9">
        <v>170</v>
      </c>
      <c r="C189" s="17"/>
      <c r="D189" s="72"/>
      <c r="E189" s="76"/>
      <c r="F189" s="76"/>
      <c r="G189" s="76" t="str">
        <f ca="1">IF(ISBLANK(D189),IF(AND(ISNUMBER(D188),D188&lt;$AF$5),'NTS ONLY_set_year'!$E$62,"- -"),IF(D189&gt;$AF$5,$AG$5,IF(D189&gt;D188+1,$AG$6,IF(D189&lt;D188,$AG$7,Y189))))</f>
        <v>- -</v>
      </c>
      <c r="H189" s="532"/>
      <c r="I189" s="621"/>
      <c r="J189" s="534"/>
      <c r="K189" s="555"/>
      <c r="L189" s="556"/>
      <c r="M189" s="557" t="str">
        <f t="shared" si="42"/>
        <v/>
      </c>
      <c r="N189" s="558"/>
      <c r="O189" s="559"/>
      <c r="P189" s="560"/>
      <c r="Q189" s="559"/>
      <c r="R189" s="18" t="str">
        <f t="shared" si="50"/>
        <v/>
      </c>
      <c r="S189" s="36"/>
      <c r="T189" s="120" t="str">
        <f ca="1">INDEX('NTS ONLY_set_year'!E:E,MATCH(TEXT($X189,"Ddd"),'NTS ONLY_set_year'!C:C,0))</f>
        <v>Dim</v>
      </c>
      <c r="U189" s="186" t="str">
        <f t="shared" ca="1" si="51"/>
        <v>juin</v>
      </c>
      <c r="X189" s="347">
        <f t="shared" ca="1" si="55"/>
        <v>46173</v>
      </c>
      <c r="Y189" s="452" t="str">
        <f t="shared" ca="1" si="52"/>
        <v>Dim. juin , 2026</v>
      </c>
      <c r="Z189" s="143">
        <f t="shared" ca="1" si="43"/>
        <v>30</v>
      </c>
      <c r="AA189" s="348">
        <f t="shared" ca="1" si="44"/>
        <v>6</v>
      </c>
      <c r="AB189" s="168">
        <f t="shared" ca="1" si="53"/>
        <v>0</v>
      </c>
      <c r="AF189" s="349">
        <f t="shared" ca="1" si="45"/>
        <v>99</v>
      </c>
      <c r="AG189" s="350">
        <f ca="1">MIN(AF189:AF$195)</f>
        <v>99</v>
      </c>
      <c r="AH189" s="121" t="b">
        <f t="shared" si="46"/>
        <v>0</v>
      </c>
      <c r="AJ189" s="191">
        <f t="shared" ca="1" si="47"/>
        <v>0</v>
      </c>
      <c r="AK189" s="168">
        <f>IF(D189&lt;&gt;D188,MAX(L$20:L188),AK188)</f>
        <v>0</v>
      </c>
      <c r="AL189" s="121" t="str">
        <f t="shared" si="56"/>
        <v>- -</v>
      </c>
      <c r="AM189" s="121">
        <f>MIN(K190:K$194)</f>
        <v>0</v>
      </c>
      <c r="AN189" s="352" t="str">
        <f t="shared" si="57"/>
        <v>- -</v>
      </c>
      <c r="AP189" s="352">
        <f t="shared" si="54"/>
        <v>999</v>
      </c>
      <c r="AQ189" s="143">
        <f t="shared" ca="1" si="48"/>
        <v>1</v>
      </c>
      <c r="AR189" s="143">
        <f t="shared" ca="1" si="49"/>
        <v>0</v>
      </c>
      <c r="AU189" s="281" t="str">
        <f>IF($C189=$AB$15,'NTS ONLY_set_year'!$E$143," ")&amp;$D189</f>
        <v xml:space="preserve"> </v>
      </c>
      <c r="AV189" s="121">
        <f t="shared" ca="1" si="59"/>
        <v>0</v>
      </c>
      <c r="AW189" s="198">
        <f t="shared" ca="1" si="60"/>
        <v>0</v>
      </c>
      <c r="BM189" s="352">
        <f t="shared" si="58"/>
        <v>1</v>
      </c>
      <c r="BN189" s="281">
        <f t="shared" si="58"/>
        <v>1</v>
      </c>
      <c r="BQ189" s="251"/>
      <c r="BR189" s="7"/>
      <c r="BS189" s="7"/>
      <c r="BT189" s="7"/>
      <c r="IU189" s="16"/>
    </row>
    <row r="190" spans="2:255" ht="13.2">
      <c r="B190" s="9">
        <v>171</v>
      </c>
      <c r="C190" s="17"/>
      <c r="D190" s="72"/>
      <c r="E190" s="76"/>
      <c r="F190" s="76"/>
      <c r="G190" s="76" t="str">
        <f ca="1">IF(ISBLANK(D190),IF(AND(ISNUMBER(D189),D189&lt;$AF$5),'NTS ONLY_set_year'!$E$62,"- -"),IF(D190&gt;$AF$5,$AG$5,IF(D190&gt;D189+1,$AG$6,IF(D190&lt;D189,$AG$7,Y190))))</f>
        <v>- -</v>
      </c>
      <c r="H190" s="532"/>
      <c r="I190" s="621"/>
      <c r="J190" s="534"/>
      <c r="K190" s="555"/>
      <c r="L190" s="556"/>
      <c r="M190" s="557" t="str">
        <f t="shared" si="42"/>
        <v/>
      </c>
      <c r="N190" s="558"/>
      <c r="O190" s="559"/>
      <c r="P190" s="560"/>
      <c r="Q190" s="559"/>
      <c r="R190" s="18" t="str">
        <f t="shared" si="50"/>
        <v/>
      </c>
      <c r="S190" s="36"/>
      <c r="T190" s="120" t="str">
        <f ca="1">INDEX('NTS ONLY_set_year'!E:E,MATCH(TEXT($X190,"Ddd"),'NTS ONLY_set_year'!C:C,0))</f>
        <v>Dim</v>
      </c>
      <c r="U190" s="186" t="str">
        <f t="shared" ca="1" si="51"/>
        <v>juin</v>
      </c>
      <c r="X190" s="347">
        <f t="shared" ca="1" si="55"/>
        <v>46173</v>
      </c>
      <c r="Y190" s="452" t="str">
        <f t="shared" ca="1" si="52"/>
        <v>Dim. juin , 2026</v>
      </c>
      <c r="Z190" s="143">
        <f t="shared" ca="1" si="43"/>
        <v>30</v>
      </c>
      <c r="AA190" s="348">
        <f t="shared" ca="1" si="44"/>
        <v>6</v>
      </c>
      <c r="AB190" s="168">
        <f t="shared" ca="1" si="53"/>
        <v>0</v>
      </c>
      <c r="AF190" s="349">
        <f t="shared" ca="1" si="45"/>
        <v>99</v>
      </c>
      <c r="AG190" s="350">
        <f ca="1">MIN(AF190:AF$195)</f>
        <v>99</v>
      </c>
      <c r="AH190" s="121" t="b">
        <f t="shared" si="46"/>
        <v>0</v>
      </c>
      <c r="AJ190" s="191">
        <f t="shared" ca="1" si="47"/>
        <v>0</v>
      </c>
      <c r="AK190" s="168">
        <f>IF(D190&lt;&gt;D189,MAX(L$20:L189),AK189)</f>
        <v>0</v>
      </c>
      <c r="AL190" s="121" t="str">
        <f t="shared" si="56"/>
        <v>- -</v>
      </c>
      <c r="AM190" s="121">
        <f>MIN(K191:K$194)</f>
        <v>0</v>
      </c>
      <c r="AN190" s="352" t="str">
        <f t="shared" si="57"/>
        <v>- -</v>
      </c>
      <c r="AP190" s="352">
        <f t="shared" si="54"/>
        <v>999</v>
      </c>
      <c r="AQ190" s="143">
        <f t="shared" ca="1" si="48"/>
        <v>1</v>
      </c>
      <c r="AR190" s="143">
        <f t="shared" ca="1" si="49"/>
        <v>0</v>
      </c>
      <c r="AU190" s="281" t="str">
        <f>IF($C190=$AB$15,'NTS ONLY_set_year'!$E$143," ")&amp;$D190</f>
        <v xml:space="preserve"> </v>
      </c>
      <c r="AV190" s="121">
        <f t="shared" ca="1" si="59"/>
        <v>0</v>
      </c>
      <c r="AW190" s="198">
        <f t="shared" ca="1" si="60"/>
        <v>0</v>
      </c>
      <c r="BM190" s="352">
        <f t="shared" si="58"/>
        <v>1</v>
      </c>
      <c r="BN190" s="281">
        <f t="shared" si="58"/>
        <v>1</v>
      </c>
      <c r="BQ190" s="251"/>
      <c r="BR190" s="7"/>
      <c r="BS190" s="7"/>
      <c r="BT190" s="7"/>
      <c r="IU190" s="16"/>
    </row>
    <row r="191" spans="2:255" ht="13.2">
      <c r="B191" s="9">
        <v>172</v>
      </c>
      <c r="C191" s="17"/>
      <c r="D191" s="72"/>
      <c r="E191" s="76"/>
      <c r="F191" s="76"/>
      <c r="G191" s="76" t="str">
        <f ca="1">IF(ISBLANK(D191),IF(AND(ISNUMBER(D190),D190&lt;$AF$5),'NTS ONLY_set_year'!$E$62,"- -"),IF(D191&gt;$AF$5,$AG$5,IF(D191&gt;D190+1,$AG$6,IF(D191&lt;D190,$AG$7,Y191))))</f>
        <v>- -</v>
      </c>
      <c r="H191" s="532"/>
      <c r="I191" s="621"/>
      <c r="J191" s="534"/>
      <c r="K191" s="555"/>
      <c r="L191" s="556"/>
      <c r="M191" s="557" t="str">
        <f t="shared" si="42"/>
        <v/>
      </c>
      <c r="N191" s="558"/>
      <c r="O191" s="559"/>
      <c r="P191" s="560"/>
      <c r="Q191" s="559"/>
      <c r="R191" s="18" t="str">
        <f t="shared" si="50"/>
        <v/>
      </c>
      <c r="S191" s="36"/>
      <c r="T191" s="120" t="str">
        <f ca="1">INDEX('NTS ONLY_set_year'!E:E,MATCH(TEXT($X191,"Ddd"),'NTS ONLY_set_year'!C:C,0))</f>
        <v>Dim</v>
      </c>
      <c r="U191" s="186" t="str">
        <f t="shared" ca="1" si="51"/>
        <v>juin</v>
      </c>
      <c r="X191" s="347">
        <f t="shared" ca="1" si="55"/>
        <v>46173</v>
      </c>
      <c r="Y191" s="452" t="str">
        <f t="shared" ca="1" si="52"/>
        <v>Dim. juin , 2026</v>
      </c>
      <c r="Z191" s="143">
        <f t="shared" ca="1" si="43"/>
        <v>30</v>
      </c>
      <c r="AA191" s="348">
        <f t="shared" ca="1" si="44"/>
        <v>6</v>
      </c>
      <c r="AB191" s="168">
        <f t="shared" ca="1" si="53"/>
        <v>0</v>
      </c>
      <c r="AF191" s="349">
        <f t="shared" ca="1" si="45"/>
        <v>99</v>
      </c>
      <c r="AG191" s="350">
        <f ca="1">MIN(AF191:AF$195)</f>
        <v>99</v>
      </c>
      <c r="AH191" s="121" t="b">
        <f t="shared" si="46"/>
        <v>0</v>
      </c>
      <c r="AJ191" s="191">
        <f t="shared" ca="1" si="47"/>
        <v>0</v>
      </c>
      <c r="AK191" s="168">
        <f>IF(D191&lt;&gt;D190,MAX(L$20:L190),AK190)</f>
        <v>0</v>
      </c>
      <c r="AL191" s="121" t="str">
        <f t="shared" si="56"/>
        <v>- -</v>
      </c>
      <c r="AM191" s="121">
        <f>MIN(K192:K$194)</f>
        <v>0</v>
      </c>
      <c r="AN191" s="352" t="str">
        <f t="shared" si="57"/>
        <v>- -</v>
      </c>
      <c r="AP191" s="352">
        <f t="shared" si="54"/>
        <v>999</v>
      </c>
      <c r="AQ191" s="143">
        <f t="shared" ca="1" si="48"/>
        <v>1</v>
      </c>
      <c r="AR191" s="143">
        <f t="shared" ca="1" si="49"/>
        <v>0</v>
      </c>
      <c r="AU191" s="281" t="str">
        <f>IF($C191=$AB$15,'NTS ONLY_set_year'!$E$143," ")&amp;$D191</f>
        <v xml:space="preserve"> </v>
      </c>
      <c r="AV191" s="121">
        <f t="shared" ca="1" si="59"/>
        <v>0</v>
      </c>
      <c r="AW191" s="198">
        <f t="shared" ca="1" si="60"/>
        <v>0</v>
      </c>
      <c r="BM191" s="352">
        <f t="shared" si="58"/>
        <v>1</v>
      </c>
      <c r="BN191" s="281">
        <f t="shared" si="58"/>
        <v>1</v>
      </c>
      <c r="BQ191" s="251"/>
      <c r="BR191" s="7"/>
      <c r="BS191" s="7"/>
      <c r="BT191" s="7"/>
      <c r="IU191" s="16"/>
    </row>
    <row r="192" spans="2:255" ht="13.2">
      <c r="B192" s="9">
        <v>173</v>
      </c>
      <c r="C192" s="17"/>
      <c r="D192" s="72"/>
      <c r="E192" s="76"/>
      <c r="F192" s="76"/>
      <c r="G192" s="76" t="str">
        <f ca="1">IF(ISBLANK(D192),IF(AND(ISNUMBER(D191),D191&lt;$AF$5),'NTS ONLY_set_year'!$E$62,"- -"),IF(D192&gt;$AF$5,$AG$5,IF(D192&gt;D191+1,$AG$6,IF(D192&lt;D191,$AG$7,Y192))))</f>
        <v>- -</v>
      </c>
      <c r="H192" s="532"/>
      <c r="I192" s="621"/>
      <c r="J192" s="534"/>
      <c r="K192" s="555"/>
      <c r="L192" s="556"/>
      <c r="M192" s="557" t="str">
        <f t="shared" si="42"/>
        <v/>
      </c>
      <c r="N192" s="558"/>
      <c r="O192" s="559"/>
      <c r="P192" s="560"/>
      <c r="Q192" s="559"/>
      <c r="R192" s="18" t="str">
        <f t="shared" si="50"/>
        <v/>
      </c>
      <c r="S192" s="36"/>
      <c r="T192" s="120" t="str">
        <f ca="1">INDEX('NTS ONLY_set_year'!E:E,MATCH(TEXT($X192,"Ddd"),'NTS ONLY_set_year'!C:C,0))</f>
        <v>Dim</v>
      </c>
      <c r="U192" s="186" t="str">
        <f t="shared" ca="1" si="51"/>
        <v>juin</v>
      </c>
      <c r="X192" s="347">
        <f t="shared" ca="1" si="55"/>
        <v>46173</v>
      </c>
      <c r="Y192" s="452" t="str">
        <f t="shared" ca="1" si="52"/>
        <v>Dim. juin , 2026</v>
      </c>
      <c r="Z192" s="143">
        <f t="shared" ca="1" si="43"/>
        <v>30</v>
      </c>
      <c r="AA192" s="348">
        <f t="shared" ca="1" si="44"/>
        <v>6</v>
      </c>
      <c r="AB192" s="168">
        <f t="shared" ca="1" si="53"/>
        <v>0</v>
      </c>
      <c r="AF192" s="349">
        <f t="shared" ca="1" si="45"/>
        <v>99</v>
      </c>
      <c r="AG192" s="350">
        <f ca="1">MIN(AF192:AF$195)</f>
        <v>99</v>
      </c>
      <c r="AH192" s="121" t="b">
        <f t="shared" si="46"/>
        <v>0</v>
      </c>
      <c r="AJ192" s="191">
        <f t="shared" ca="1" si="47"/>
        <v>0</v>
      </c>
      <c r="AK192" s="168">
        <f>IF(D192&lt;&gt;D191,MAX(L$20:L191),AK191)</f>
        <v>0</v>
      </c>
      <c r="AL192" s="121" t="str">
        <f t="shared" si="56"/>
        <v>- -</v>
      </c>
      <c r="AM192" s="121">
        <f>MIN(K193:K$194)</f>
        <v>0</v>
      </c>
      <c r="AN192" s="352" t="str">
        <f t="shared" si="57"/>
        <v>- -</v>
      </c>
      <c r="AP192" s="352">
        <f t="shared" si="54"/>
        <v>999</v>
      </c>
      <c r="AQ192" s="143">
        <f t="shared" ca="1" si="48"/>
        <v>1</v>
      </c>
      <c r="AR192" s="143">
        <f t="shared" ca="1" si="49"/>
        <v>0</v>
      </c>
      <c r="AU192" s="281" t="str">
        <f>IF($C192=$AB$15,'NTS ONLY_set_year'!$E$143," ")&amp;$D192</f>
        <v xml:space="preserve"> </v>
      </c>
      <c r="AV192" s="121">
        <f t="shared" ca="1" si="59"/>
        <v>0</v>
      </c>
      <c r="AW192" s="198">
        <f t="shared" ca="1" si="60"/>
        <v>0</v>
      </c>
      <c r="BM192" s="352">
        <f t="shared" si="58"/>
        <v>1</v>
      </c>
      <c r="BN192" s="281">
        <f t="shared" si="58"/>
        <v>1</v>
      </c>
      <c r="BQ192" s="251"/>
      <c r="BR192" s="7"/>
      <c r="BS192" s="7"/>
      <c r="BT192" s="7"/>
      <c r="IU192" s="16"/>
    </row>
    <row r="193" spans="1:255" ht="13.2">
      <c r="B193" s="9">
        <v>174</v>
      </c>
      <c r="C193" s="17"/>
      <c r="D193" s="72"/>
      <c r="E193" s="76"/>
      <c r="F193" s="76"/>
      <c r="G193" s="76" t="str">
        <f ca="1">IF(ISBLANK(D193),IF(AND(ISNUMBER(D192),D192&lt;$AF$5),'NTS ONLY_set_year'!$E$62,"- -"),IF(D193&gt;$AF$5,$AG$5,IF(D193&gt;D192+1,$AG$6,IF(D193&lt;D192,$AG$7,Y193))))</f>
        <v>- -</v>
      </c>
      <c r="H193" s="532"/>
      <c r="I193" s="621"/>
      <c r="J193" s="534"/>
      <c r="K193" s="555"/>
      <c r="L193" s="556"/>
      <c r="M193" s="557" t="str">
        <f t="shared" si="42"/>
        <v/>
      </c>
      <c r="N193" s="558"/>
      <c r="O193" s="559"/>
      <c r="P193" s="560"/>
      <c r="Q193" s="559"/>
      <c r="R193" s="18" t="str">
        <f t="shared" si="50"/>
        <v/>
      </c>
      <c r="S193" s="36"/>
      <c r="T193" s="120" t="str">
        <f ca="1">INDEX('NTS ONLY_set_year'!E:E,MATCH(TEXT($X193,"Ddd"),'NTS ONLY_set_year'!C:C,0))</f>
        <v>Dim</v>
      </c>
      <c r="U193" s="186" t="str">
        <f t="shared" ca="1" si="51"/>
        <v>juin</v>
      </c>
      <c r="X193" s="347">
        <f t="shared" ca="1" si="55"/>
        <v>46173</v>
      </c>
      <c r="Y193" s="452" t="str">
        <f t="shared" ca="1" si="52"/>
        <v>Dim. juin , 2026</v>
      </c>
      <c r="Z193" s="143">
        <f t="shared" ca="1" si="43"/>
        <v>30</v>
      </c>
      <c r="AA193" s="348">
        <f t="shared" ca="1" si="44"/>
        <v>6</v>
      </c>
      <c r="AB193" s="168">
        <f t="shared" ca="1" si="53"/>
        <v>0</v>
      </c>
      <c r="AF193" s="349">
        <f t="shared" ca="1" si="45"/>
        <v>99</v>
      </c>
      <c r="AG193" s="350">
        <f ca="1">MIN(AF193:AF$195)</f>
        <v>99</v>
      </c>
      <c r="AH193" s="121" t="b">
        <f t="shared" si="46"/>
        <v>0</v>
      </c>
      <c r="AJ193" s="191">
        <f t="shared" ca="1" si="47"/>
        <v>0</v>
      </c>
      <c r="AK193" s="168">
        <f>IF(D193&lt;&gt;D192,MAX(L$20:L192),AK192)</f>
        <v>0</v>
      </c>
      <c r="AL193" s="121" t="str">
        <f t="shared" si="56"/>
        <v>- -</v>
      </c>
      <c r="AM193" s="121">
        <f>MIN(K194:K$194)</f>
        <v>0</v>
      </c>
      <c r="AN193" s="352" t="str">
        <f t="shared" si="57"/>
        <v>- -</v>
      </c>
      <c r="AP193" s="352">
        <f t="shared" si="54"/>
        <v>999</v>
      </c>
      <c r="AQ193" s="143">
        <f t="shared" ca="1" si="48"/>
        <v>1</v>
      </c>
      <c r="AR193" s="143">
        <f t="shared" ca="1" si="49"/>
        <v>0</v>
      </c>
      <c r="AU193" s="281" t="str">
        <f>IF($C193=$AB$15,'NTS ONLY_set_year'!$E$143," ")&amp;$D193</f>
        <v xml:space="preserve"> </v>
      </c>
      <c r="AV193" s="121">
        <f t="shared" ca="1" si="59"/>
        <v>0</v>
      </c>
      <c r="AW193" s="198">
        <f t="shared" ca="1" si="60"/>
        <v>0</v>
      </c>
      <c r="BM193" s="352">
        <f t="shared" si="58"/>
        <v>1</v>
      </c>
      <c r="BN193" s="281">
        <f t="shared" si="58"/>
        <v>1</v>
      </c>
      <c r="BQ193" s="251"/>
      <c r="BR193" s="7"/>
      <c r="BS193" s="7"/>
      <c r="BT193" s="7"/>
      <c r="IU193" s="16"/>
    </row>
    <row r="194" spans="1:255" ht="13.2">
      <c r="B194" s="9">
        <v>175</v>
      </c>
      <c r="C194" s="17"/>
      <c r="D194" s="72"/>
      <c r="E194" s="76"/>
      <c r="F194" s="76"/>
      <c r="G194" s="76" t="str">
        <f ca="1">IF(ISBLANK(D194),IF(AND(ISNUMBER(D193),D193&lt;$AF$5),'NTS ONLY_set_year'!$E$62,"- -"),IF(D194&gt;$AF$5,$AG$5,IF(D194&gt;D193+1,$AG$6,IF(D194&lt;D193,$AG$7,Y194))))</f>
        <v>- -</v>
      </c>
      <c r="H194" s="532"/>
      <c r="I194" s="621"/>
      <c r="J194" s="534"/>
      <c r="K194" s="555"/>
      <c r="L194" s="556"/>
      <c r="M194" s="557" t="str">
        <f t="shared" si="42"/>
        <v/>
      </c>
      <c r="N194" s="558"/>
      <c r="O194" s="559"/>
      <c r="P194" s="560"/>
      <c r="Q194" s="559"/>
      <c r="R194" s="18" t="str">
        <f t="shared" si="50"/>
        <v/>
      </c>
      <c r="S194" s="36"/>
      <c r="T194" s="120" t="str">
        <f ca="1">INDEX('NTS ONLY_set_year'!E:E,MATCH(TEXT($X194,"Ddd"),'NTS ONLY_set_year'!C:C,0))</f>
        <v>Dim</v>
      </c>
      <c r="U194" s="186" t="str">
        <f t="shared" ca="1" si="51"/>
        <v>juin</v>
      </c>
      <c r="X194" s="347">
        <f t="shared" ca="1" si="55"/>
        <v>46173</v>
      </c>
      <c r="Y194" s="452" t="str">
        <f t="shared" ca="1" si="52"/>
        <v>Dim. juin , 2026</v>
      </c>
      <c r="Z194" s="143">
        <f t="shared" ca="1" si="43"/>
        <v>30</v>
      </c>
      <c r="AA194" s="348">
        <f t="shared" ca="1" si="44"/>
        <v>6</v>
      </c>
      <c r="AB194" s="168">
        <f t="shared" ca="1" si="53"/>
        <v>0</v>
      </c>
      <c r="AF194" s="349">
        <f t="shared" ca="1" si="45"/>
        <v>99</v>
      </c>
      <c r="AG194" s="350">
        <f ca="1">MIN(AF194:AF$195)</f>
        <v>99</v>
      </c>
      <c r="AH194" s="121" t="b">
        <f t="shared" si="46"/>
        <v>0</v>
      </c>
      <c r="AJ194" s="191">
        <f t="shared" ca="1" si="47"/>
        <v>0</v>
      </c>
      <c r="AK194" s="168">
        <f>IF(D194&lt;&gt;D193,MAX(L$20:L193),AK193)</f>
        <v>0</v>
      </c>
      <c r="AL194" s="121" t="str">
        <f t="shared" si="56"/>
        <v>- -</v>
      </c>
      <c r="AM194" s="121">
        <f>MIN(K$194:K195)</f>
        <v>0</v>
      </c>
      <c r="AN194" s="352" t="str">
        <f t="shared" si="57"/>
        <v>- -</v>
      </c>
      <c r="AP194" s="352">
        <f t="shared" si="54"/>
        <v>999</v>
      </c>
      <c r="AQ194" s="143">
        <f t="shared" ca="1" si="48"/>
        <v>1</v>
      </c>
      <c r="AR194" s="143">
        <f t="shared" ca="1" si="49"/>
        <v>0</v>
      </c>
      <c r="AU194" s="281" t="str">
        <f>IF($C194=$AB$15,'NTS ONLY_set_year'!$E$143," ")&amp;$D194</f>
        <v xml:space="preserve"> </v>
      </c>
      <c r="AV194" s="121">
        <f t="shared" ca="1" si="59"/>
        <v>0</v>
      </c>
      <c r="AW194" s="198">
        <f t="shared" ca="1" si="60"/>
        <v>0</v>
      </c>
      <c r="BM194" s="352">
        <f t="shared" si="58"/>
        <v>1</v>
      </c>
      <c r="BN194" s="281">
        <f t="shared" si="58"/>
        <v>1</v>
      </c>
      <c r="BQ194" s="251"/>
      <c r="BR194" s="7"/>
      <c r="BS194" s="7"/>
      <c r="BT194" s="7"/>
      <c r="IU194" s="16"/>
    </row>
    <row r="195" spans="1:255" ht="13.2">
      <c r="B195" s="7"/>
      <c r="C195" s="7"/>
      <c r="D195" s="7"/>
      <c r="E195" s="7"/>
      <c r="F195" s="7"/>
      <c r="G195" s="25"/>
      <c r="H195" s="7"/>
      <c r="I195" s="7"/>
      <c r="J195" s="7"/>
      <c r="K195" s="7"/>
      <c r="L195" s="7"/>
      <c r="M195" s="7"/>
      <c r="N195" s="7"/>
      <c r="O195" s="7"/>
      <c r="P195" s="7"/>
      <c r="Q195" s="7"/>
      <c r="R195" s="7"/>
      <c r="S195" s="353"/>
      <c r="T195" s="353"/>
      <c r="U195" s="353"/>
      <c r="V195" s="353"/>
      <c r="W195" s="353"/>
      <c r="X195" s="353"/>
      <c r="Y195" s="353"/>
      <c r="Z195" s="354">
        <f ca="1">Z194</f>
        <v>30</v>
      </c>
      <c r="AA195" s="355"/>
      <c r="AB195" s="355"/>
      <c r="AC195" s="353"/>
      <c r="AD195" s="353"/>
      <c r="AE195" s="353"/>
      <c r="AF195" s="353"/>
      <c r="AG195" s="353"/>
      <c r="AH195" s="355"/>
      <c r="AI195" s="353"/>
      <c r="AJ195" s="353"/>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Q195" s="353"/>
      <c r="BR195" s="7"/>
      <c r="BS195" s="7"/>
      <c r="BT195" s="7"/>
      <c r="IU195" s="16"/>
    </row>
    <row r="196" spans="1:255" ht="27.9" customHeight="1">
      <c r="F196" s="820" t="str">
        <f>'NTS ONLY_set_year'!$E$133&amp;"
"&amp;'NTS ONLY_set_year'!$E$5</f>
        <v xml:space="preserve">© PricewaterhouseCoopers LLP/s.r.l./s.e.n.c.r.l., une société à responsabilité limitée de l’Ontario, 2026.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820"/>
      <c r="H196" s="820"/>
      <c r="I196" s="820"/>
      <c r="J196" s="820"/>
      <c r="K196" s="820"/>
      <c r="L196" s="820"/>
      <c r="M196" s="820"/>
      <c r="N196" s="820"/>
      <c r="O196" s="820"/>
      <c r="P196" s="820"/>
      <c r="Q196" s="820"/>
      <c r="R196" s="820"/>
      <c r="T196"/>
      <c r="U196"/>
      <c r="V196" s="19"/>
      <c r="AB196" s="120"/>
      <c r="AC196" s="246">
        <f ca="1">Z195</f>
        <v>30</v>
      </c>
      <c r="AD196" s="121"/>
      <c r="AE196" s="121"/>
      <c r="AH196" s="120"/>
      <c r="AL196" s="120"/>
      <c r="AM196" s="120"/>
      <c r="BP196" s="121"/>
      <c r="BQ196" s="121"/>
      <c r="BR196" s="121"/>
      <c r="BS196" s="120"/>
      <c r="BT196" s="120"/>
    </row>
    <row r="197" spans="1:255" ht="27.9" customHeight="1">
      <c r="F197" s="820"/>
      <c r="G197" s="820"/>
      <c r="H197" s="820"/>
      <c r="I197" s="820"/>
      <c r="J197" s="820"/>
      <c r="K197" s="820"/>
      <c r="L197" s="820"/>
      <c r="M197" s="820"/>
      <c r="N197" s="820"/>
      <c r="O197" s="820"/>
      <c r="P197" s="820"/>
      <c r="Q197" s="820"/>
      <c r="R197" s="820"/>
      <c r="T197"/>
      <c r="U197"/>
      <c r="V197" s="19"/>
      <c r="AB197" s="120"/>
      <c r="AC197" s="246">
        <f ca="1">AC196</f>
        <v>30</v>
      </c>
      <c r="AD197" s="121"/>
      <c r="AE197" s="121"/>
      <c r="AH197" s="120"/>
      <c r="AL197" s="120"/>
      <c r="AM197" s="120"/>
      <c r="BP197" s="121"/>
      <c r="BQ197" s="121"/>
      <c r="BR197" s="121"/>
      <c r="BS197" s="120"/>
      <c r="BT197" s="120"/>
    </row>
    <row r="198" spans="1:255" s="26" customFormat="1" ht="27.9" customHeight="1">
      <c r="A198"/>
      <c r="B198"/>
      <c r="C198"/>
      <c r="D198"/>
      <c r="E198"/>
      <c r="F198" s="820"/>
      <c r="G198" s="820"/>
      <c r="H198" s="820"/>
      <c r="I198" s="820"/>
      <c r="J198" s="820"/>
      <c r="K198" s="820"/>
      <c r="L198" s="820"/>
      <c r="M198" s="820"/>
      <c r="N198" s="820"/>
      <c r="O198" s="820"/>
      <c r="P198" s="820"/>
      <c r="Q198" s="820"/>
      <c r="R198" s="820"/>
      <c r="T198" s="27"/>
      <c r="U198" s="49"/>
      <c r="V198" s="37"/>
      <c r="W198" s="248"/>
      <c r="X198" s="248"/>
      <c r="Y198" s="248"/>
      <c r="Z198" s="248"/>
      <c r="AA198" s="248"/>
      <c r="AB198" s="248"/>
      <c r="AC198" s="249">
        <f ca="1">AC197</f>
        <v>30</v>
      </c>
      <c r="AD198" s="250"/>
      <c r="AE198" s="250"/>
      <c r="AF198" s="248"/>
      <c r="AG198" s="248"/>
      <c r="AH198" s="248"/>
      <c r="AI198" s="248"/>
      <c r="AJ198" s="248"/>
      <c r="AK198" s="250"/>
      <c r="AL198" s="248"/>
      <c r="AM198" s="248"/>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48"/>
      <c r="BT198" s="24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26"/>
      <c r="S199" s="19"/>
      <c r="Z199" s="246">
        <f ca="1">AC198</f>
        <v>30</v>
      </c>
      <c r="AA199" s="121"/>
    </row>
    <row r="200" spans="1:255" ht="13.2">
      <c r="AB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row>
    <row r="201" spans="1:255" ht="13.2">
      <c r="U201" s="751" t="str">
        <f ca="1">$X$11</f>
        <v/>
      </c>
      <c r="V201" s="752"/>
      <c r="W201" s="752"/>
      <c r="X201" s="752"/>
      <c r="Y201" s="752"/>
      <c r="Z201" s="752"/>
      <c r="AA201" s="752"/>
      <c r="AB201" s="753"/>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row>
    <row r="202" spans="1:255" ht="13.2">
      <c r="U202" s="811"/>
      <c r="V202" s="812"/>
      <c r="W202" s="812"/>
      <c r="X202" s="812"/>
      <c r="Y202" s="812"/>
      <c r="Z202" s="812"/>
      <c r="AA202" s="812"/>
      <c r="AB202" s="813"/>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row>
    <row r="203" spans="1:255" ht="12.75" hidden="1" customHeight="1">
      <c r="AB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row>
    <row r="204" spans="1:255" ht="12.75" hidden="1" customHeight="1">
      <c r="AB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row>
    <row r="205" spans="1:255" ht="12.75" hidden="1" customHeight="1">
      <c r="AB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row>
    <row r="206" spans="1:255" ht="12.75" hidden="1" customHeight="1">
      <c r="AB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row>
    <row r="207" spans="1:255" ht="12.75" hidden="1" customHeight="1">
      <c r="AB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row>
    <row r="208" spans="1:255" ht="12.75" hidden="1" customHeight="1">
      <c r="AB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row>
    <row r="209" spans="28:67" ht="12.75" hidden="1" customHeight="1">
      <c r="AB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row>
    <row r="210" spans="28:67" ht="12.75" hidden="1" customHeight="1">
      <c r="AB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row>
    <row r="211" spans="28:67" ht="12.75" hidden="1" customHeight="1">
      <c r="AB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row>
    <row r="212" spans="28:67" ht="12.75" hidden="1" customHeight="1">
      <c r="AB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row>
    <row r="213" spans="28:67" ht="12.75" hidden="1" customHeight="1">
      <c r="AB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row>
    <row r="214" spans="28:67" ht="12.75" hidden="1" customHeight="1">
      <c r="AB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row>
    <row r="215" spans="28:67" ht="12.75" hidden="1" customHeight="1">
      <c r="AB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row>
    <row r="216" spans="28:67" ht="12.75" hidden="1" customHeight="1">
      <c r="AB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row>
    <row r="217" spans="28:67" ht="12.75" hidden="1" customHeight="1">
      <c r="AB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row>
    <row r="218" spans="28:67" ht="12.75" hidden="1" customHeight="1">
      <c r="AB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row>
    <row r="219" spans="28:67" ht="12.75" hidden="1" customHeight="1">
      <c r="AB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row>
    <row r="220" spans="28:67" ht="12.75" hidden="1" customHeight="1">
      <c r="AB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row>
    <row r="221" spans="28:67" ht="12.75" hidden="1" customHeight="1">
      <c r="AB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row>
    <row r="222" spans="28:67" ht="12.75" hidden="1" customHeight="1">
      <c r="AB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row>
    <row r="223" spans="28:67" ht="12.75" hidden="1" customHeight="1">
      <c r="AB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row>
    <row r="224" spans="28:67" ht="12.75" hidden="1" customHeight="1">
      <c r="AB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row>
    <row r="225" spans="28:67" ht="12.75" hidden="1" customHeight="1">
      <c r="AB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row>
    <row r="226" spans="28:67" ht="12.75" hidden="1" customHeight="1">
      <c r="AB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row>
    <row r="227" spans="28:67" ht="12.75" hidden="1" customHeight="1">
      <c r="AB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row>
    <row r="228" spans="28:67" ht="12.75" hidden="1" customHeight="1">
      <c r="AB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row>
    <row r="229" spans="28:67" ht="12.75" hidden="1" customHeight="1">
      <c r="AB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row>
    <row r="230" spans="28:67" ht="12.75" hidden="1" customHeight="1">
      <c r="AB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row>
    <row r="231" spans="28:67" ht="12.75" hidden="1" customHeight="1">
      <c r="AB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row>
    <row r="232" spans="28:67" ht="12.75" hidden="1" customHeight="1">
      <c r="AB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row>
    <row r="233" spans="28:67" ht="12.75" hidden="1" customHeight="1">
      <c r="AB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row>
    <row r="234" spans="28:67" ht="12.75" hidden="1" customHeight="1">
      <c r="AB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row>
    <row r="235" spans="28:67" ht="12.75" hidden="1" customHeight="1">
      <c r="AB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row>
    <row r="236" spans="28:67" ht="12.75" hidden="1" customHeight="1">
      <c r="AB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row>
    <row r="237" spans="28:67" ht="12.75" hidden="1" customHeight="1">
      <c r="AB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row>
    <row r="238" spans="28:67" ht="12.75" hidden="1" customHeight="1">
      <c r="AB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row>
    <row r="239" spans="28:67" ht="12.75" hidden="1" customHeight="1">
      <c r="AB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row>
    <row r="240" spans="28:67" ht="12.75" hidden="1" customHeight="1">
      <c r="AB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row>
    <row r="241" spans="28:67" ht="12.75" hidden="1" customHeight="1">
      <c r="AB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row>
    <row r="242" spans="28:67" ht="12.75" hidden="1" customHeight="1">
      <c r="AB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row>
    <row r="243" spans="28:67" ht="12.75" hidden="1" customHeight="1">
      <c r="AB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row>
    <row r="244" spans="28:67" ht="12.75" hidden="1" customHeight="1">
      <c r="AB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row>
    <row r="245" spans="28:67" ht="12.75" hidden="1" customHeight="1">
      <c r="AB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row>
    <row r="246" spans="28:67" ht="12.75" hidden="1" customHeight="1">
      <c r="AB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row>
    <row r="247" spans="28:67" ht="12.75" hidden="1" customHeight="1">
      <c r="AB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row>
    <row r="248" spans="28:67" ht="12.75" hidden="1" customHeight="1">
      <c r="AB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row>
    <row r="249" spans="28:67" ht="12.75" hidden="1" customHeight="1">
      <c r="AB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row>
    <row r="250" spans="28:67" ht="12.75" hidden="1" customHeight="1">
      <c r="AB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row>
    <row r="251" spans="28:67" ht="12.75" hidden="1" customHeight="1">
      <c r="AB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row>
    <row r="252" spans="28:67" ht="12.75" hidden="1" customHeight="1">
      <c r="AB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row>
    <row r="253" spans="28:67" ht="12.75" hidden="1" customHeight="1">
      <c r="AB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row>
    <row r="254" spans="28:67" ht="12.75" hidden="1" customHeight="1">
      <c r="AB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row>
    <row r="255" spans="28:67" ht="12.75" hidden="1" customHeight="1">
      <c r="AB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row>
    <row r="256" spans="28:67" ht="12.75" hidden="1" customHeight="1">
      <c r="AB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row>
    <row r="257" spans="28:67" ht="12.75" hidden="1" customHeight="1">
      <c r="AB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row>
    <row r="258" spans="28:67" ht="12.75" hidden="1" customHeight="1">
      <c r="AB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row>
    <row r="259" spans="28:67" ht="12.75" hidden="1" customHeight="1">
      <c r="AB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row>
    <row r="260" spans="28:67" ht="12.75" hidden="1" customHeight="1">
      <c r="AB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row>
    <row r="261" spans="28:67" ht="12.75" hidden="1" customHeight="1">
      <c r="AB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row>
    <row r="262" spans="28:67" ht="12.75" hidden="1" customHeight="1">
      <c r="AB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row>
    <row r="263" spans="28:67" ht="12.75" hidden="1" customHeight="1">
      <c r="AB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row>
    <row r="264" spans="28:67" ht="12.75" hidden="1" customHeight="1">
      <c r="AB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row>
    <row r="265" spans="28:67" ht="12.75" hidden="1" customHeight="1">
      <c r="AB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row>
    <row r="266" spans="28:67" ht="12.75" hidden="1" customHeight="1">
      <c r="AB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row>
    <row r="267" spans="28:67" ht="12.75" hidden="1" customHeight="1">
      <c r="AB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row>
    <row r="268" spans="28:67" ht="12.75" hidden="1" customHeight="1">
      <c r="AB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row>
    <row r="269" spans="28:67" ht="12.75" hidden="1" customHeight="1">
      <c r="AB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row>
    <row r="270" spans="28:67" ht="12.75" hidden="1" customHeight="1">
      <c r="AB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row>
    <row r="271" spans="28:67" ht="12.75" hidden="1" customHeight="1">
      <c r="AB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row>
    <row r="272" spans="28:67" ht="12.75" hidden="1" customHeight="1">
      <c r="AB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row>
    <row r="273" spans="28:67" ht="12.75" hidden="1" customHeight="1">
      <c r="AB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row>
    <row r="274" spans="28:67" ht="12.75" hidden="1" customHeight="1">
      <c r="AB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row>
    <row r="275" spans="28:67" ht="12.75" hidden="1" customHeight="1">
      <c r="AB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row>
    <row r="276" spans="28:67" ht="12.75" hidden="1" customHeight="1">
      <c r="AB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row>
    <row r="277" spans="28:67" ht="12.75" hidden="1" customHeight="1">
      <c r="AB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row>
    <row r="278" spans="28:67" ht="12.75" hidden="1" customHeight="1">
      <c r="AB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row>
    <row r="279" spans="28:67" ht="12.75" hidden="1" customHeight="1">
      <c r="AB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row>
    <row r="280" spans="28:67" ht="12.75" hidden="1" customHeight="1">
      <c r="AB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row>
    <row r="281" spans="28:67" ht="12.75" hidden="1" customHeight="1">
      <c r="AB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row>
    <row r="282" spans="28:67" ht="12.75" hidden="1" customHeight="1">
      <c r="AB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row>
    <row r="283" spans="28:67" ht="12.75" hidden="1" customHeight="1">
      <c r="AB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row>
    <row r="284" spans="28:67" ht="12.75" hidden="1" customHeight="1">
      <c r="AB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row>
    <row r="285" spans="28:67" ht="12.75" hidden="1" customHeight="1">
      <c r="AB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row>
    <row r="286" spans="28:67" ht="12.75" hidden="1" customHeight="1">
      <c r="AB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row>
    <row r="287" spans="28:67" ht="12.75" hidden="1" customHeight="1">
      <c r="AB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row>
    <row r="288" spans="28:67" ht="12.75" hidden="1" customHeight="1">
      <c r="AB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row>
    <row r="289" spans="28:67" ht="12.75" hidden="1" customHeight="1">
      <c r="AB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row>
    <row r="290" spans="28:67" ht="12.75" hidden="1" customHeight="1">
      <c r="AB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row>
    <row r="291" spans="28:67" ht="12.75" hidden="1" customHeight="1">
      <c r="AB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row>
    <row r="292" spans="28:67" ht="12.75" hidden="1" customHeight="1">
      <c r="AB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row>
    <row r="293" spans="28:67" ht="12.75" hidden="1" customHeight="1">
      <c r="AB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row>
    <row r="294" spans="28:67" ht="12.75" hidden="1" customHeight="1">
      <c r="AB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row>
    <row r="295" spans="28:67" ht="12.75" hidden="1" customHeight="1">
      <c r="AB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row>
    <row r="296" spans="28:67" ht="12.75" hidden="1" customHeight="1">
      <c r="AB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row>
    <row r="297" spans="28:67" ht="12.75" hidden="1" customHeight="1">
      <c r="AB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row>
    <row r="298" spans="28:67" ht="12.75" hidden="1" customHeight="1">
      <c r="AB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row>
    <row r="299" spans="28:67" ht="12.75" hidden="1" customHeight="1">
      <c r="AB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row>
    <row r="300" spans="28:67" ht="12.75" hidden="1" customHeight="1">
      <c r="AB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row>
    <row r="301" spans="28:67" ht="12.75" hidden="1" customHeight="1">
      <c r="AB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row>
    <row r="302" spans="28:67" ht="12.75" hidden="1" customHeight="1">
      <c r="AB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row>
    <row r="303" spans="28:67" ht="12.75" hidden="1" customHeight="1">
      <c r="AB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row>
    <row r="304" spans="28:67" ht="12.75" hidden="1" customHeight="1">
      <c r="AB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row>
    <row r="305" spans="28:67" ht="12.75" hidden="1" customHeight="1">
      <c r="AB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row>
    <row r="306" spans="28:67" ht="12.75" hidden="1" customHeight="1">
      <c r="AB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row>
    <row r="307" spans="28:67" ht="12.75" hidden="1" customHeight="1">
      <c r="AB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row>
    <row r="308" spans="28:67" ht="12.75" hidden="1" customHeight="1">
      <c r="AB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row>
    <row r="309" spans="28:67" ht="12.75" hidden="1" customHeight="1">
      <c r="AB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row>
    <row r="310" spans="28:67" ht="12.75" hidden="1" customHeight="1">
      <c r="AB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row>
    <row r="311" spans="28:67" ht="12.75" hidden="1" customHeight="1">
      <c r="AB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row>
    <row r="312" spans="28:67" ht="12.75" hidden="1" customHeight="1">
      <c r="AB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row>
    <row r="313" spans="28:67" ht="12.75" hidden="1" customHeight="1">
      <c r="AB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row>
    <row r="314" spans="28:67" ht="12.75" hidden="1" customHeight="1">
      <c r="AB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row>
    <row r="315" spans="28:67" ht="12.75" hidden="1" customHeight="1">
      <c r="AB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row>
    <row r="316" spans="28:67" ht="12.75" hidden="1" customHeight="1">
      <c r="AB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row>
    <row r="317" spans="28:67" ht="12.75" hidden="1" customHeight="1">
      <c r="AB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row>
    <row r="318" spans="28:67" ht="12.75" hidden="1" customHeight="1">
      <c r="AB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row>
    <row r="319" spans="28:67" ht="12.75" hidden="1" customHeight="1">
      <c r="AB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row>
    <row r="320" spans="28:67" ht="12.75" hidden="1" customHeight="1">
      <c r="AB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row>
    <row r="321" spans="28:67" ht="12.75" hidden="1" customHeight="1">
      <c r="AB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row>
    <row r="322" spans="28:67" ht="12.75" hidden="1" customHeight="1">
      <c r="AB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row>
    <row r="323" spans="28:67" ht="12.75" hidden="1" customHeight="1">
      <c r="AB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row>
    <row r="324" spans="28:67" ht="12.75" hidden="1" customHeight="1">
      <c r="AB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row>
    <row r="325" spans="28:67" ht="12.75" hidden="1" customHeight="1">
      <c r="AB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row>
    <row r="326" spans="28:67" ht="12.75" hidden="1" customHeight="1">
      <c r="AB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row>
    <row r="327" spans="28:67" ht="12.75" hidden="1" customHeight="1">
      <c r="AB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row>
    <row r="328" spans="28:67" ht="12.75" hidden="1" customHeight="1">
      <c r="AB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row>
    <row r="329" spans="28:67" ht="12.75" hidden="1" customHeight="1">
      <c r="AB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row>
    <row r="330" spans="28:67" ht="12.75" hidden="1" customHeight="1">
      <c r="AB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row>
    <row r="331" spans="28:67" ht="12.75" hidden="1" customHeight="1">
      <c r="AB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row>
    <row r="332" spans="28:67" ht="12.75" hidden="1" customHeight="1">
      <c r="AB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row>
    <row r="333" spans="28:67" ht="12.75" hidden="1" customHeight="1">
      <c r="AB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row>
    <row r="334" spans="28:67" ht="12.75" hidden="1" customHeight="1">
      <c r="AB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row>
    <row r="335" spans="28:67" ht="12.75" hidden="1" customHeight="1">
      <c r="AB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row>
    <row r="336" spans="28:67" ht="12.75" hidden="1" customHeight="1">
      <c r="AB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row>
    <row r="337" spans="28:67" ht="12.75" hidden="1" customHeight="1">
      <c r="AB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row>
    <row r="338" spans="28:67" ht="12.75" hidden="1" customHeight="1">
      <c r="AB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row>
    <row r="339" spans="28:67" ht="12.75" hidden="1" customHeight="1">
      <c r="AB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row>
    <row r="340" spans="28:67" ht="12.75" hidden="1" customHeight="1">
      <c r="AB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row>
    <row r="341" spans="28:67" ht="12.75" hidden="1" customHeight="1">
      <c r="AB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row>
    <row r="342" spans="28:67" ht="12.75" hidden="1" customHeight="1">
      <c r="AB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row>
    <row r="343" spans="28:67" ht="12.75" hidden="1" customHeight="1">
      <c r="AB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row>
    <row r="344" spans="28:67" ht="12.75" hidden="1" customHeight="1">
      <c r="AB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row>
    <row r="345" spans="28:67" ht="12.75" hidden="1" customHeight="1">
      <c r="AB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row>
    <row r="346" spans="28:67" ht="12.75" hidden="1" customHeight="1">
      <c r="AB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row>
    <row r="347" spans="28:67" ht="12.75" hidden="1" customHeight="1">
      <c r="AB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row>
    <row r="348" spans="28:67" ht="12.75" hidden="1" customHeight="1">
      <c r="AB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row>
    <row r="349" spans="28:67" ht="12.75" hidden="1" customHeight="1">
      <c r="AB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row>
    <row r="350" spans="28:67" ht="12.75" hidden="1" customHeight="1">
      <c r="AB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row>
    <row r="351" spans="28:67" ht="12.75" hidden="1" customHeight="1">
      <c r="AB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row>
    <row r="352" spans="28:67" ht="12.75" hidden="1" customHeight="1">
      <c r="AB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row>
    <row r="353" spans="28:67" ht="12.75" hidden="1" customHeight="1">
      <c r="AB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row>
    <row r="354" spans="28:67" ht="12.75" hidden="1" customHeight="1">
      <c r="AB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row>
    <row r="355" spans="28:67" ht="12.75" hidden="1" customHeight="1">
      <c r="AB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row>
    <row r="356" spans="28:67" ht="12.75" hidden="1" customHeight="1">
      <c r="AB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row>
    <row r="357" spans="28:67" ht="12.75" hidden="1" customHeight="1">
      <c r="AB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row>
    <row r="358" spans="28:67" ht="12.75" hidden="1" customHeight="1">
      <c r="AB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row>
    <row r="359" spans="28:67" ht="12.75" hidden="1" customHeight="1">
      <c r="AB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row>
    <row r="360" spans="28:67" ht="12.75" hidden="1" customHeight="1">
      <c r="AB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row>
    <row r="361" spans="28:67" ht="12.75" hidden="1" customHeight="1">
      <c r="AB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row>
    <row r="362" spans="28:67" ht="12.75" hidden="1" customHeight="1">
      <c r="AB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row>
    <row r="363" spans="28:67" ht="12.75" hidden="1" customHeight="1">
      <c r="AB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row>
    <row r="364" spans="28:67" ht="12.75" hidden="1" customHeight="1">
      <c r="AB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row>
    <row r="365" spans="28:67" ht="12.75" hidden="1" customHeight="1">
      <c r="AB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row>
    <row r="366" spans="28:67" ht="12.75" hidden="1" customHeight="1">
      <c r="AB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row>
    <row r="367" spans="28:67" ht="12.75" hidden="1" customHeight="1">
      <c r="AB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row>
    <row r="368" spans="28:67" ht="12.75" hidden="1" customHeight="1">
      <c r="AB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row>
    <row r="369" spans="28:67" ht="12.75" hidden="1" customHeight="1">
      <c r="AB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row>
    <row r="370" spans="28:67" ht="12.75" hidden="1" customHeight="1">
      <c r="AB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row>
    <row r="371" spans="28:67" ht="12.75" hidden="1" customHeight="1">
      <c r="AB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row>
    <row r="372" spans="28:67" ht="12.75" hidden="1" customHeight="1">
      <c r="AB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row>
    <row r="373" spans="28:67" ht="12.75" hidden="1" customHeight="1">
      <c r="AB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row>
    <row r="374" spans="28:67" ht="12.75" hidden="1" customHeight="1">
      <c r="AB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row>
    <row r="375" spans="28:67" ht="12.75" hidden="1" customHeight="1">
      <c r="AB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row>
    <row r="376" spans="28:67" ht="12.75" hidden="1" customHeight="1">
      <c r="AB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row>
    <row r="377" spans="28:67" ht="12.75" hidden="1" customHeight="1">
      <c r="AB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row>
    <row r="378" spans="28:67" ht="12.75" hidden="1" customHeight="1">
      <c r="AB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row>
    <row r="379" spans="28:67" ht="12.75" hidden="1" customHeight="1">
      <c r="AB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row>
    <row r="380" spans="28:67" ht="12.75" hidden="1" customHeight="1">
      <c r="AB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row>
    <row r="381" spans="28:67" ht="12.75" hidden="1" customHeight="1">
      <c r="AB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row>
    <row r="382" spans="28:67" ht="12.75" hidden="1" customHeight="1">
      <c r="AB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row>
    <row r="383" spans="28:67" ht="12.75" hidden="1" customHeight="1">
      <c r="AB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row>
    <row r="384" spans="28:67" ht="12.75" hidden="1" customHeight="1">
      <c r="AB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row>
    <row r="385" spans="28:67" ht="12.75" hidden="1" customHeight="1">
      <c r="AB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row>
    <row r="386" spans="28:67" ht="12.75" hidden="1" customHeight="1">
      <c r="AB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row>
    <row r="387" spans="28:67" ht="12.75" hidden="1" customHeight="1">
      <c r="AB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row>
    <row r="388" spans="28:67" ht="12.75" hidden="1" customHeight="1">
      <c r="AB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row>
    <row r="389" spans="28:67" ht="12.75" hidden="1" customHeight="1">
      <c r="AB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row>
    <row r="390" spans="28:67" ht="12.75" hidden="1" customHeight="1">
      <c r="AB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row>
    <row r="391" spans="28:67" ht="12.75" hidden="1" customHeight="1">
      <c r="AB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row>
    <row r="392" spans="28:67" ht="12.75" hidden="1" customHeight="1">
      <c r="AB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row>
    <row r="393" spans="28:67" ht="12.75" hidden="1" customHeight="1">
      <c r="AB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row>
    <row r="394" spans="28:67" ht="12.75" hidden="1" customHeight="1">
      <c r="AB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row>
    <row r="395" spans="28:67" ht="12.75" hidden="1" customHeight="1">
      <c r="AB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row>
    <row r="396" spans="28:67" ht="12.75" hidden="1" customHeight="1">
      <c r="AB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row>
    <row r="397" spans="28:67" ht="12.75" hidden="1" customHeight="1">
      <c r="AB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row>
    <row r="398" spans="28:67" ht="12.75" hidden="1" customHeight="1">
      <c r="AB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row>
    <row r="399" spans="28:67" ht="12.75" hidden="1" customHeight="1">
      <c r="AB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row>
    <row r="400" spans="28:67" ht="12.75" hidden="1" customHeight="1">
      <c r="AB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row>
    <row r="401" spans="28:67" ht="12.75" hidden="1" customHeight="1">
      <c r="AB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row>
    <row r="402" spans="28:67" ht="12.75" hidden="1" customHeight="1">
      <c r="AB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row>
    <row r="403" spans="28:67" ht="12.75" hidden="1" customHeight="1">
      <c r="AB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row>
    <row r="404" spans="28:67" ht="12.75" hidden="1" customHeight="1">
      <c r="AB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row>
    <row r="405" spans="28:67" ht="12.75" hidden="1" customHeight="1">
      <c r="AB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row>
    <row r="406" spans="28:67" ht="12.75" hidden="1" customHeight="1">
      <c r="AB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row>
    <row r="407" spans="28:67" ht="12.75" hidden="1" customHeight="1">
      <c r="AB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row>
    <row r="408" spans="28:67" ht="12.75" hidden="1" customHeight="1">
      <c r="AB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row>
    <row r="409" spans="28:67" ht="12.75" hidden="1" customHeight="1">
      <c r="AB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row>
    <row r="410" spans="28:67" ht="12.75" hidden="1" customHeight="1">
      <c r="AB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row>
    <row r="411" spans="28:67" ht="12.75" hidden="1" customHeight="1">
      <c r="AB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row>
    <row r="412" spans="28:67" ht="12.75" hidden="1" customHeight="1">
      <c r="AB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row>
    <row r="413" spans="28:67" ht="12.75" hidden="1" customHeight="1">
      <c r="AB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row>
    <row r="414" spans="28:67" ht="12.75" hidden="1" customHeight="1">
      <c r="AB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row>
    <row r="415" spans="28:67" ht="12.75" hidden="1" customHeight="1">
      <c r="AB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row>
    <row r="416" spans="28:67" ht="12.75" hidden="1" customHeight="1">
      <c r="AB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row>
    <row r="417" spans="28:67" ht="12.75" hidden="1" customHeight="1">
      <c r="AB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row>
    <row r="418" spans="28:67" ht="12.75" hidden="1" customHeight="1">
      <c r="AB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row>
    <row r="419" spans="28:67" ht="12.75" hidden="1" customHeight="1">
      <c r="AB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row>
    <row r="420" spans="28:67" ht="12.75" hidden="1" customHeight="1">
      <c r="AB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row>
    <row r="421" spans="28:67" ht="12.75" hidden="1" customHeight="1">
      <c r="AB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row>
    <row r="422" spans="28:67" ht="12.75" hidden="1" customHeight="1">
      <c r="AB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row>
    <row r="423" spans="28:67" ht="12.75" hidden="1" customHeight="1">
      <c r="AB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row>
    <row r="424" spans="28:67" ht="12.75" hidden="1" customHeight="1">
      <c r="AB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row>
    <row r="425" spans="28:67" ht="12.75" hidden="1" customHeight="1">
      <c r="AB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row>
    <row r="426" spans="28:67" ht="12.75" hidden="1" customHeight="1">
      <c r="AB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row>
    <row r="427" spans="28:67" ht="12.75" hidden="1" customHeight="1">
      <c r="AB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row>
    <row r="428" spans="28:67" ht="12.75" hidden="1" customHeight="1">
      <c r="AB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row>
    <row r="429" spans="28:67" ht="12.75" hidden="1" customHeight="1">
      <c r="AB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row>
    <row r="430" spans="28:67" ht="12.75" hidden="1" customHeight="1">
      <c r="AB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row>
    <row r="431" spans="28:67" ht="12.75" hidden="1" customHeight="1">
      <c r="AB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row>
    <row r="432" spans="28:67" ht="12.75" hidden="1" customHeight="1">
      <c r="AB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row>
    <row r="433" spans="28:67" ht="12.75" hidden="1" customHeight="1">
      <c r="AB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row>
    <row r="434" spans="28:67" ht="12.75" hidden="1" customHeight="1">
      <c r="AB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row>
    <row r="435" spans="28:67" ht="12.75" hidden="1" customHeight="1">
      <c r="AB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row>
    <row r="436" spans="28:67" ht="12.75" hidden="1" customHeight="1">
      <c r="AB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row>
    <row r="437" spans="28:67" ht="12.75" hidden="1" customHeight="1">
      <c r="AB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row>
    <row r="438" spans="28:67" ht="12.75" hidden="1" customHeight="1">
      <c r="AB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row>
    <row r="439" spans="28:67" ht="12.75" hidden="1" customHeight="1">
      <c r="AB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row>
    <row r="440" spans="28:67" ht="12.75" hidden="1" customHeight="1">
      <c r="AB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row>
    <row r="441" spans="28:67" ht="12.75" hidden="1" customHeight="1">
      <c r="AB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row>
    <row r="442" spans="28:67" ht="12.75" hidden="1" customHeight="1">
      <c r="AB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row>
    <row r="443" spans="28:67" ht="12.75" hidden="1" customHeight="1">
      <c r="AB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row>
    <row r="444" spans="28:67" ht="12.75" hidden="1" customHeight="1">
      <c r="AB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row>
    <row r="445" spans="28:67" ht="12.75" hidden="1" customHeight="1">
      <c r="AB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row>
    <row r="446" spans="28:67" ht="12.75" hidden="1" customHeight="1">
      <c r="AB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row>
    <row r="447" spans="28:67" ht="12.75" hidden="1" customHeight="1">
      <c r="AB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row>
    <row r="448" spans="28:67" ht="12.75" hidden="1" customHeight="1">
      <c r="AB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row>
    <row r="449" spans="28:67" ht="12.75" hidden="1" customHeight="1">
      <c r="AB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row>
    <row r="450" spans="28:67" ht="12.75" hidden="1" customHeight="1">
      <c r="AB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row>
    <row r="451" spans="28:67" ht="12.75" hidden="1" customHeight="1">
      <c r="AB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row>
    <row r="452" spans="28:67" ht="12.75" hidden="1" customHeight="1">
      <c r="AB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row>
    <row r="453" spans="28:67" ht="12.75" hidden="1" customHeight="1">
      <c r="AB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row>
    <row r="454" spans="28:67" ht="12.75" hidden="1" customHeight="1">
      <c r="AB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row>
    <row r="455" spans="28:67" ht="12.75" hidden="1" customHeight="1">
      <c r="AB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row>
    <row r="456" spans="28:67" ht="12.75" hidden="1" customHeight="1">
      <c r="AB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row>
    <row r="457" spans="28:67" ht="12.75" hidden="1" customHeight="1">
      <c r="AB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row>
    <row r="458" spans="28:67" ht="12.75" hidden="1" customHeight="1">
      <c r="AB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row>
    <row r="459" spans="28:67" ht="12.75" hidden="1" customHeight="1">
      <c r="AB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row>
    <row r="460" spans="28:67" ht="12.75" hidden="1" customHeight="1">
      <c r="AB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row>
    <row r="461" spans="28:67" ht="12.75" hidden="1" customHeight="1">
      <c r="AB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row>
    <row r="462" spans="28:67" ht="12.75" hidden="1" customHeight="1">
      <c r="AB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row>
    <row r="463" spans="28:67" ht="12.75" hidden="1" customHeight="1">
      <c r="AB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row>
    <row r="464" spans="28:67" ht="12.75" hidden="1" customHeight="1">
      <c r="AB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row>
    <row r="465" spans="28:67" ht="12.75" hidden="1" customHeight="1">
      <c r="AB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row>
    <row r="466" spans="28:67" ht="12.75" hidden="1" customHeight="1">
      <c r="AB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row>
    <row r="467" spans="28:67" ht="12.75" hidden="1" customHeight="1">
      <c r="AB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row>
    <row r="468" spans="28:67" ht="12.75" hidden="1" customHeight="1">
      <c r="AB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row>
    <row r="469" spans="28:67" ht="12.75" hidden="1" customHeight="1">
      <c r="AB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row>
    <row r="470" spans="28:67" ht="12.75" hidden="1" customHeight="1">
      <c r="AB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row>
    <row r="471" spans="28:67" ht="12.75" hidden="1" customHeight="1">
      <c r="AB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row>
    <row r="472" spans="28:67" ht="12.75" hidden="1" customHeight="1">
      <c r="AB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row>
    <row r="473" spans="28:67" ht="12.75" hidden="1" customHeight="1">
      <c r="AB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row>
    <row r="474" spans="28:67" ht="12.75" hidden="1" customHeight="1">
      <c r="AB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row>
    <row r="475" spans="28:67" ht="12.75" hidden="1" customHeight="1">
      <c r="AB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row>
    <row r="476" spans="28:67" ht="12.75" hidden="1" customHeight="1">
      <c r="AB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row>
    <row r="477" spans="28:67" ht="12.75" hidden="1" customHeight="1">
      <c r="AB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row>
    <row r="478" spans="28:67" ht="12.75" hidden="1" customHeight="1">
      <c r="AB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row>
    <row r="479" spans="28:67" ht="12.75" hidden="1" customHeight="1">
      <c r="AB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row>
    <row r="480" spans="28:67" ht="12.75" hidden="1" customHeight="1">
      <c r="AB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row>
    <row r="481" spans="28:67" ht="12.75" hidden="1" customHeight="1">
      <c r="AB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row>
    <row r="482" spans="28:67" ht="12.75" hidden="1" customHeight="1">
      <c r="AB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row>
    <row r="483" spans="28:67" ht="12.75" hidden="1" customHeight="1">
      <c r="AB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row>
    <row r="484" spans="28:67" ht="12.75" hidden="1" customHeight="1">
      <c r="AB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row>
    <row r="485" spans="28:67" ht="12.75" hidden="1" customHeight="1">
      <c r="AB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row>
    <row r="486" spans="28:67" ht="12.75" hidden="1" customHeight="1">
      <c r="AB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row>
    <row r="487" spans="28:67" ht="12.75" hidden="1" customHeight="1">
      <c r="AB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row>
    <row r="488" spans="28:67" ht="12.75" hidden="1" customHeight="1">
      <c r="AB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row>
    <row r="489" spans="28:67" ht="12.75" hidden="1" customHeight="1">
      <c r="AB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row>
    <row r="490" spans="28:67" ht="12.75" hidden="1" customHeight="1">
      <c r="AB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row>
    <row r="491" spans="28:67" ht="12.75" hidden="1" customHeight="1">
      <c r="AB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row>
    <row r="492" spans="28:67" ht="12.75" hidden="1" customHeight="1">
      <c r="AB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row>
    <row r="493" spans="28:67" ht="12.75" hidden="1" customHeight="1">
      <c r="AB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row>
    <row r="494" spans="28:67" ht="12.75" hidden="1" customHeight="1">
      <c r="AB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row>
    <row r="495" spans="28:67" ht="12.75" hidden="1" customHeight="1">
      <c r="AB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row>
    <row r="496" spans="28:67" ht="12.75" hidden="1" customHeight="1">
      <c r="AB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row>
    <row r="497" spans="28:67" ht="12.75" hidden="1" customHeight="1">
      <c r="AB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row>
    <row r="498" spans="28:67" ht="12.75" hidden="1" customHeight="1">
      <c r="AB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row>
    <row r="499" spans="28:67" ht="12.75" hidden="1" customHeight="1">
      <c r="AB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row>
    <row r="500" spans="28:67" ht="12.75" hidden="1" customHeight="1">
      <c r="AB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row>
    <row r="501" spans="28:67" ht="12.75" hidden="1" customHeight="1">
      <c r="AB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79" priority="61" stopIfTrue="1">
      <formula>AND($AJ$2=$AF$5,$X$16=$X$13)</formula>
    </cfRule>
  </conditionalFormatting>
  <conditionalFormatting sqref="B18">
    <cfRule type="expression" dxfId="478" priority="40" stopIfTrue="1">
      <formula>(B18&gt;DATE(2000+$Y$2,$AA$21+1,1)-DATE(2000+$Y$2,$AA$21,1))</formula>
    </cfRule>
  </conditionalFormatting>
  <conditionalFormatting sqref="B20:B194">
    <cfRule type="expression" dxfId="477" priority="7" stopIfTrue="1">
      <formula>($G20="- -")</formula>
    </cfRule>
  </conditionalFormatting>
  <conditionalFormatting sqref="B16:J16">
    <cfRule type="expression" dxfId="476" priority="47" stopIfTrue="1">
      <formula>AND($AJ$2=$AF$5,$X$16=$X$13)</formula>
    </cfRule>
  </conditionalFormatting>
  <conditionalFormatting sqref="C17">
    <cfRule type="cellIs" dxfId="475" priority="46" stopIfTrue="1" operator="equal">
      <formula>"X"</formula>
    </cfRule>
  </conditionalFormatting>
  <conditionalFormatting sqref="C20:C194">
    <cfRule type="expression" dxfId="474" priority="15" stopIfTrue="1">
      <formula>($X$16=$X$14)</formula>
    </cfRule>
    <cfRule type="expression" dxfId="473" priority="16" stopIfTrue="1">
      <formula>($AV20=1)</formula>
    </cfRule>
    <cfRule type="expression" dxfId="472" priority="17" stopIfTrue="1">
      <formula>AND(D20=1+D19,G20=X20)</formula>
    </cfRule>
  </conditionalFormatting>
  <conditionalFormatting sqref="C9:J9">
    <cfRule type="expression" dxfId="471" priority="72" stopIfTrue="1">
      <formula>AND(ISNUMBER(C$9),ISNUMBER(C10),(C$9&gt;C$10))</formula>
    </cfRule>
  </conditionalFormatting>
  <conditionalFormatting sqref="C10:J10">
    <cfRule type="expression" dxfId="470" priority="78" stopIfTrue="1">
      <formula>AND(ISNUMBER(C$9),ISNUMBER(C10),(C$9&gt;C$10))</formula>
    </cfRule>
  </conditionalFormatting>
  <conditionalFormatting sqref="D20">
    <cfRule type="expression" dxfId="469" priority="19" stopIfTrue="1">
      <formula>AND($G20&lt;&gt;"- -",$G20&lt;&gt;$Y20)</formula>
    </cfRule>
    <cfRule type="expression" dxfId="468" priority="20" stopIfTrue="1">
      <formula>($AI20=1)</formula>
    </cfRule>
  </conditionalFormatting>
  <conditionalFormatting sqref="D21:D194">
    <cfRule type="expression" dxfId="467" priority="64" stopIfTrue="1">
      <formula>($AI21=1)</formula>
    </cfRule>
    <cfRule type="expression" dxfId="466" priority="63" stopIfTrue="1">
      <formula>AND($G21&lt;&gt;"- -",$G21&lt;&gt;$Y21)</formula>
    </cfRule>
  </conditionalFormatting>
  <conditionalFormatting sqref="D18:G19">
    <cfRule type="expression" dxfId="465" priority="39" stopIfTrue="1">
      <formula>($AB$16&lt;2)</formula>
    </cfRule>
  </conditionalFormatting>
  <conditionalFormatting sqref="D20:G194">
    <cfRule type="expression" dxfId="464" priority="18" stopIfTrue="1">
      <formula>OR($G20=$G19,$D20=$D19)</formula>
    </cfRule>
  </conditionalFormatting>
  <conditionalFormatting sqref="E8:F8">
    <cfRule type="expression" dxfId="463" priority="74" stopIfTrue="1">
      <formula>AND(ISNUMBER(E$9),ISNUMBER(E10),(E$9&gt;E$10))</formula>
    </cfRule>
    <cfRule type="expression" dxfId="462" priority="73" stopIfTrue="1">
      <formula>(BJ$13&gt;0)</formula>
    </cfRule>
  </conditionalFormatting>
  <conditionalFormatting sqref="E20:G20">
    <cfRule type="expression" dxfId="461" priority="23" stopIfTrue="1">
      <formula>($AI20+$AX20&gt;0)</formula>
    </cfRule>
    <cfRule type="expression" dxfId="460" priority="22" stopIfTrue="1">
      <formula>AND($G20&lt;&gt;"- -",$G20&lt;&gt;$Y20)</formula>
    </cfRule>
  </conditionalFormatting>
  <conditionalFormatting sqref="E21:G194">
    <cfRule type="expression" dxfId="459" priority="67" stopIfTrue="1">
      <formula>($AI21+$AX21&gt;0)</formula>
    </cfRule>
    <cfRule type="expression" dxfId="458" priority="66" stopIfTrue="1">
      <formula>AND($G21&lt;&gt;"- -",$G21&lt;&gt;$Y21)</formula>
    </cfRule>
  </conditionalFormatting>
  <conditionalFormatting sqref="G8:J8">
    <cfRule type="expression" dxfId="457" priority="76" stopIfTrue="1">
      <formula>AND(ISNUMBER(G$9),ISNUMBER(G10),(G$9&gt;G$10))</formula>
    </cfRule>
    <cfRule type="expression" dxfId="456" priority="75" stopIfTrue="1">
      <formula>(BK$13&gt;0)</formula>
    </cfRule>
  </conditionalFormatting>
  <conditionalFormatting sqref="H6:I7">
    <cfRule type="expression" dxfId="455" priority="77" stopIfTrue="1">
      <formula>AND(ISNUMBER($H$7),$H$7&lt;$I$7)</formula>
    </cfRule>
  </conditionalFormatting>
  <conditionalFormatting sqref="H21:J194">
    <cfRule type="expression" dxfId="454" priority="5" stopIfTrue="1">
      <formula>($D20=$D21)</formula>
    </cfRule>
  </conditionalFormatting>
  <conditionalFormatting sqref="J7">
    <cfRule type="cellIs" dxfId="453" priority="51" stopIfTrue="1" operator="lessThan">
      <formula>0</formula>
    </cfRule>
  </conditionalFormatting>
  <conditionalFormatting sqref="K20:K34">
    <cfRule type="expression" dxfId="452" priority="71" stopIfTrue="1">
      <formula>AND(ISNUMBER(K20),ISNUMBER(L20),OR(K20&lt;L19,K20&gt;L20))</formula>
    </cfRule>
  </conditionalFormatting>
  <conditionalFormatting sqref="K35:K194">
    <cfRule type="expression" dxfId="451" priority="60" stopIfTrue="1">
      <formula>AND(ISNUMBER(K35),OR(K35&lt;L34,K35&gt;L35,$BM35&lt;&gt;1))</formula>
    </cfRule>
  </conditionalFormatting>
  <conditionalFormatting sqref="K18:L18 BE19:BF19">
    <cfRule type="expression" dxfId="450" priority="29" stopIfTrue="1">
      <formula>($K$19=$AL$7)</formula>
    </cfRule>
  </conditionalFormatting>
  <conditionalFormatting sqref="K20:M194">
    <cfRule type="expression" dxfId="449" priority="53" stopIfTrue="1">
      <formula>OR($AJ$2=$AF$5,$AW20=0,$AV20=1,$AG20=99)</formula>
    </cfRule>
  </conditionalFormatting>
  <conditionalFormatting sqref="L20:L34">
    <cfRule type="expression" dxfId="448" priority="69" stopIfTrue="1">
      <formula>AND(ISNUMBER(L20),OR(AND(L20&lt;K19,B20&gt;1),K20&gt;L20))</formula>
    </cfRule>
  </conditionalFormatting>
  <conditionalFormatting sqref="L35:L194">
    <cfRule type="expression" dxfId="447" priority="58" stopIfTrue="1">
      <formula>AND(ISNUMBER(L35),OR(AND(L35&lt;K34,B35&gt;1),K35&gt;L35,$BN35&lt;&gt;1))</formula>
    </cfRule>
  </conditionalFormatting>
  <conditionalFormatting sqref="M19 BG20">
    <cfRule type="cellIs" dxfId="446" priority="44" stopIfTrue="1" operator="equal">
      <formula>0</formula>
    </cfRule>
    <cfRule type="expression" dxfId="445" priority="45" stopIfTrue="1">
      <formula>($AJ$2=$AF$5)</formula>
    </cfRule>
  </conditionalFormatting>
  <conditionalFormatting sqref="M20:M194">
    <cfRule type="cellIs" dxfId="444" priority="54" stopIfTrue="1" operator="lessThan">
      <formula>0</formula>
    </cfRule>
    <cfRule type="expression" dxfId="443" priority="55" stopIfTrue="1">
      <formula>($D19=$D20)</formula>
    </cfRule>
  </conditionalFormatting>
  <conditionalFormatting sqref="N19:Q19 BH20:BK20">
    <cfRule type="cellIs" dxfId="442" priority="42" stopIfTrue="1" operator="equal">
      <formula>0</formula>
    </cfRule>
    <cfRule type="expression" dxfId="441" priority="43" stopIfTrue="1">
      <formula>($AJ$2=$AF$5)</formula>
    </cfRule>
  </conditionalFormatting>
  <conditionalFormatting sqref="N20:Q194">
    <cfRule type="expression" dxfId="440" priority="52" stopIfTrue="1">
      <formula>OR($AW20=0,$AV20=1,$AG20=99,$AJ$2=$AF$5)</formula>
    </cfRule>
  </conditionalFormatting>
  <conditionalFormatting sqref="R20:R194">
    <cfRule type="expression" dxfId="439" priority="14" stopIfTrue="1">
      <formula>($AI20=1)</formula>
    </cfRule>
    <cfRule type="expression" dxfId="438" priority="13" stopIfTrue="1">
      <formula>"ND($G21&lt;&gt;""- -"",$G21&lt;&gt;TEXT(X21,""Dddd, Mmmm dd, Yyyy""))"</formula>
    </cfRule>
    <cfRule type="expression" dxfId="437" priority="12" stopIfTrue="1">
      <formula>OR($G20=$G19,$D20=$D19)</formula>
    </cfRule>
  </conditionalFormatting>
  <conditionalFormatting sqref="U5">
    <cfRule type="expression" dxfId="436" priority="25" stopIfTrue="1">
      <formula>OR($AC$7,$AC$6)</formula>
    </cfRule>
  </conditionalFormatting>
  <conditionalFormatting sqref="U18 X20:Z194 AC20:AE194 AK20:AK194 AQ20:AR194">
    <cfRule type="cellIs" dxfId="435" priority="6" stopIfTrue="1" operator="notEqual">
      <formula>U17</formula>
    </cfRule>
  </conditionalFormatting>
  <conditionalFormatting sqref="U201:AB201">
    <cfRule type="expression" dxfId="434" priority="41" stopIfTrue="1">
      <formula>(LEN($X$11)&gt;4)</formula>
    </cfRule>
  </conditionalFormatting>
  <conditionalFormatting sqref="V5:V7 J6 U6:U7">
    <cfRule type="expression" dxfId="433" priority="24" stopIfTrue="1">
      <formula>OR($AC$7,$AC$6,#REF!)</formula>
    </cfRule>
  </conditionalFormatting>
  <conditionalFormatting sqref="V19">
    <cfRule type="cellIs" dxfId="432" priority="26" stopIfTrue="1" operator="equal">
      <formula>1</formula>
    </cfRule>
  </conditionalFormatting>
  <conditionalFormatting sqref="AB6">
    <cfRule type="expression" dxfId="431" priority="32" stopIfTrue="1">
      <formula>$AC$6</formula>
    </cfRule>
  </conditionalFormatting>
  <conditionalFormatting sqref="AB7">
    <cfRule type="expression" dxfId="430" priority="31" stopIfTrue="1">
      <formula>$AC$7</formula>
    </cfRule>
  </conditionalFormatting>
  <conditionalFormatting sqref="AB20:AB194">
    <cfRule type="cellIs" dxfId="429" priority="49" stopIfTrue="1" operator="greaterThan">
      <formula>0</formula>
    </cfRule>
    <cfRule type="cellIs" dxfId="428" priority="50" stopIfTrue="1" operator="lessThan">
      <formula>0</formula>
    </cfRule>
  </conditionalFormatting>
  <conditionalFormatting sqref="AF20:AG194">
    <cfRule type="cellIs" dxfId="427" priority="35" stopIfTrue="1" operator="greaterThan">
      <formula>1</formula>
    </cfRule>
  </conditionalFormatting>
  <conditionalFormatting sqref="AJ16:AJ17 AJ20:AJ194">
    <cfRule type="cellIs" dxfId="426" priority="34" stopIfTrue="1" operator="greaterThan">
      <formula>0</formula>
    </cfRule>
  </conditionalFormatting>
  <conditionalFormatting sqref="AK2:BO2">
    <cfRule type="cellIs" dxfId="425" priority="38" stopIfTrue="1" operator="equal">
      <formula>0</formula>
    </cfRule>
  </conditionalFormatting>
  <conditionalFormatting sqref="AK5:BO6">
    <cfRule type="cellIs" dxfId="424" priority="33" stopIfTrue="1" operator="equal">
      <formula>0</formula>
    </cfRule>
  </conditionalFormatting>
  <conditionalFormatting sqref="AP20:AP194">
    <cfRule type="cellIs" dxfId="423" priority="28" stopIfTrue="1" operator="lessThan">
      <formula>999</formula>
    </cfRule>
  </conditionalFormatting>
  <conditionalFormatting sqref="AU20:AU194">
    <cfRule type="expression" dxfId="422" priority="37" stopIfTrue="1">
      <formula>LEN(AU20)&gt;2</formula>
    </cfRule>
  </conditionalFormatting>
  <conditionalFormatting sqref="AV20:AV194">
    <cfRule type="cellIs" dxfId="421" priority="36" stopIfTrue="1" operator="equal">
      <formula>1</formula>
    </cfRule>
  </conditionalFormatting>
  <conditionalFormatting sqref="AW20:AW194">
    <cfRule type="cellIs" dxfId="420" priority="48" stopIfTrue="1" operator="equal">
      <formula>0</formula>
    </cfRule>
  </conditionalFormatting>
  <conditionalFormatting sqref="BE20:BF20">
    <cfRule type="expression" dxfId="419" priority="30" stopIfTrue="1">
      <formula>($K$19=$AL$7)</formula>
    </cfRule>
  </conditionalFormatting>
  <conditionalFormatting sqref="BI10:BI12 BF11:BF12">
    <cfRule type="expression" dxfId="418" priority="9" stopIfTrue="1">
      <formula>(LEN($C$9)=0)</formula>
    </cfRule>
  </conditionalFormatting>
  <conditionalFormatting sqref="BI10:BN12 BF11:BF12">
    <cfRule type="expression" dxfId="417" priority="8" stopIfTrue="1">
      <formula>LEN($AA9)&gt;4</formula>
    </cfRule>
  </conditionalFormatting>
  <conditionalFormatting sqref="BJ10:BN12">
    <cfRule type="expression" dxfId="416" priority="11" stopIfTrue="1">
      <formula>(LEN(E$9)=0)</formula>
    </cfRule>
  </conditionalFormatting>
  <conditionalFormatting sqref="BJ13:BN13 R16:R17">
    <cfRule type="cellIs" dxfId="415" priority="27" stopIfTrue="1" operator="equal">
      <formula>0</formula>
    </cfRule>
  </conditionalFormatting>
  <conditionalFormatting sqref="BM20:BN194">
    <cfRule type="cellIs" dxfId="414" priority="56" stopIfTrue="1" operator="notEqual">
      <formula>1</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1F96F2FD7794A9FB0567E324D7DD7" ma:contentTypeVersion="13" ma:contentTypeDescription="Create a new document." ma:contentTypeScope="" ma:versionID="ae6239360f156f3846ece6d9e5911fd9">
  <xsd:schema xmlns:xsd="http://www.w3.org/2001/XMLSchema" xmlns:xs="http://www.w3.org/2001/XMLSchema" xmlns:p="http://schemas.microsoft.com/office/2006/metadata/properties" xmlns:ns2="107412a8-c462-4e7f-9bbe-d7590f776754" xmlns:ns3="1026f38c-7e2a-4891-957f-52c07e296a9e" targetNamespace="http://schemas.microsoft.com/office/2006/metadata/properties" ma:root="true" ma:fieldsID="a114eb6e4b77f0aa7f64e67d136b5018" ns2:_="" ns3:_="">
    <xsd:import namespace="107412a8-c462-4e7f-9bbe-d7590f776754"/>
    <xsd:import namespace="1026f38c-7e2a-4891-957f-52c07e296a9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412a8-c462-4e7f-9bbe-d7590f7767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3" nillable="true" ma:displayName="Taxonomy Catch All Column" ma:hidden="true" ma:list="{36e0df32-6cad-4b5d-ae04-58b24ffb5ef7}" ma:internalName="TaxCatchAll" ma:showField="CatchAllData" ma:web="107412a8-c462-4e7f-9bbe-d7590f7767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26f38c-7e2a-4891-957f-52c07e296a9e"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026f38c-7e2a-4891-957f-52c07e296a9e">
      <Terms xmlns="http://schemas.microsoft.com/office/infopath/2007/PartnerControls"/>
    </lcf76f155ced4ddcb4097134ff3c332f>
    <TaxCatchAll xmlns="107412a8-c462-4e7f-9bbe-d7590f776754" xsi:nil="true"/>
    <_dlc_DocId xmlns="107412a8-c462-4e7f-9bbe-d7590f776754">RC7MJVRPCYZK-1784631539-4212</_dlc_DocId>
    <_dlc_DocIdUrl xmlns="107412a8-c462-4e7f-9bbe-d7590f776754">
      <Url>https://pwccan.sharepoint.com/sites/CA-GSD-0AHZmP0F40YcxUk9PVA/_layouts/15/DocIdRedir.aspx?ID=RC7MJVRPCYZK-1784631539-4212</Url>
      <Description>RC7MJVRPCYZK-1784631539-4212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CB2FA1F-E1C5-4367-BBEB-53F82A95543A}"/>
</file>

<file path=customXml/itemProps2.xml><?xml version="1.0" encoding="utf-8"?>
<ds:datastoreItem xmlns:ds="http://schemas.openxmlformats.org/officeDocument/2006/customXml" ds:itemID="{63858E1E-8BB9-41C0-8AB3-C02609522B30}">
  <ds:schemaRefs>
    <ds:schemaRef ds:uri="http://schemas.microsoft.com/sharepoint/v3/contenttype/forms"/>
  </ds:schemaRefs>
</ds:datastoreItem>
</file>

<file path=customXml/itemProps3.xml><?xml version="1.0" encoding="utf-8"?>
<ds:datastoreItem xmlns:ds="http://schemas.openxmlformats.org/officeDocument/2006/customXml" ds:itemID="{BD18FDE1-680D-4007-9A41-F19B842B27DE}">
  <ds:schemaRefs>
    <ds:schemaRef ds:uri="http://schemas.microsoft.com/office/2006/metadata/properties"/>
    <ds:schemaRef ds:uri="http://schemas.microsoft.com/office/infopath/2007/PartnerControls"/>
    <ds:schemaRef ds:uri="106871a1-2504-45d1-9910-3be47638ddd0"/>
    <ds:schemaRef ds:uri="191aff49-9300-48c5-b584-64ecc6ff13e4"/>
  </ds:schemaRefs>
</ds:datastoreItem>
</file>

<file path=customXml/itemProps4.xml><?xml version="1.0" encoding="utf-8"?>
<ds:datastoreItem xmlns:ds="http://schemas.openxmlformats.org/officeDocument/2006/customXml" ds:itemID="{8E23DDD0-9AFB-48E6-8D41-986868FF04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Manager/>
  <Company>PricewaterhouseCoopers LLP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Alan Davis</dc:creator>
  <cp:keywords/>
  <dc:description/>
  <cp:lastModifiedBy>Alejandra Tranfaglia (CA)</cp:lastModifiedBy>
  <cp:revision/>
  <dcterms:created xsi:type="dcterms:W3CDTF">2009-10-23T21:31:14Z</dcterms:created>
  <dcterms:modified xsi:type="dcterms:W3CDTF">2026-02-17T19:11:53Z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0x0101002961F96F2FD7794A9FB0567E324D7DD7</vt:lpwstr>
  </property>
  <property fmtid="{D5CDD505-2E9C-101B-9397-08002B2CF9AE}" pid="3" name="_dlc_DocIdItemGuid">
    <vt:lpwstr>c62634cf-fb59-450e-a572-19ea32eb720c</vt:lpwstr>
  </property>
  <property fmtid="{D5CDD505-2E9C-101B-9397-08002B2CF9AE}" pid="4" name="MediaServiceImageTags">
    <vt:lpwstr/>
  </property>
</Properties>
</file>